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07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75" i="1" l="1"/>
  <c r="H75" i="1" s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H59" i="1" s="1"/>
  <c r="I59" i="1" s="1"/>
  <c r="D59" i="1"/>
  <c r="G58" i="1"/>
  <c r="D58" i="1"/>
  <c r="G57" i="1"/>
  <c r="D57" i="1"/>
  <c r="G56" i="1"/>
  <c r="D56" i="1"/>
  <c r="H55" i="1"/>
  <c r="I55" i="1" s="1"/>
  <c r="G55" i="1"/>
  <c r="D55" i="1"/>
  <c r="G54" i="1"/>
  <c r="D54" i="1"/>
  <c r="G53" i="1"/>
  <c r="D53" i="1"/>
  <c r="G52" i="1"/>
  <c r="H52" i="1" s="1"/>
  <c r="I52" i="1" s="1"/>
  <c r="D52" i="1"/>
  <c r="G51" i="1"/>
  <c r="D51" i="1"/>
  <c r="G50" i="1"/>
  <c r="D50" i="1"/>
  <c r="G49" i="1"/>
  <c r="D49" i="1"/>
  <c r="G48" i="1"/>
  <c r="H48" i="1" s="1"/>
  <c r="I48" i="1" s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H40" i="1" s="1"/>
  <c r="D40" i="1"/>
  <c r="G39" i="1"/>
  <c r="D39" i="1"/>
  <c r="G38" i="1"/>
  <c r="H38" i="1" s="1"/>
  <c r="I38" i="1" s="1"/>
  <c r="D38" i="1"/>
  <c r="G37" i="1"/>
  <c r="D37" i="1"/>
  <c r="G36" i="1"/>
  <c r="H36" i="1" s="1"/>
  <c r="I36" i="1" s="1"/>
  <c r="D36" i="1"/>
  <c r="G35" i="1"/>
  <c r="H35" i="1" s="1"/>
  <c r="I35" i="1" s="1"/>
  <c r="D35" i="1"/>
  <c r="G34" i="1"/>
  <c r="D34" i="1"/>
  <c r="G33" i="1"/>
  <c r="H33" i="1" s="1"/>
  <c r="I33" i="1" s="1"/>
  <c r="D33" i="1"/>
  <c r="G32" i="1"/>
  <c r="D32" i="1"/>
  <c r="G31" i="1"/>
  <c r="D31" i="1"/>
  <c r="G30" i="1"/>
  <c r="D30" i="1"/>
  <c r="G29" i="1"/>
  <c r="H29" i="1" s="1"/>
  <c r="I29" i="1" s="1"/>
  <c r="D29" i="1"/>
  <c r="G28" i="1"/>
  <c r="D28" i="1"/>
  <c r="G27" i="1"/>
  <c r="D27" i="1"/>
  <c r="G26" i="1"/>
  <c r="D26" i="1"/>
  <c r="H25" i="1"/>
  <c r="I25" i="1" s="1"/>
  <c r="G25" i="1"/>
  <c r="D25" i="1"/>
  <c r="G24" i="1"/>
  <c r="D24" i="1"/>
  <c r="G23" i="1"/>
  <c r="D23" i="1"/>
  <c r="L22" i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G22" i="1"/>
  <c r="D22" i="1"/>
  <c r="A12" i="1"/>
  <c r="A11" i="1"/>
  <c r="A20" i="1" s="1"/>
  <c r="B20" i="1" s="1"/>
  <c r="I40" i="1" l="1"/>
  <c r="I75" i="1"/>
  <c r="H23" i="1"/>
  <c r="H41" i="1"/>
  <c r="I41" i="1" s="1"/>
  <c r="J41" i="1" s="1"/>
  <c r="H45" i="1"/>
  <c r="I45" i="1" s="1"/>
  <c r="J45" i="1" s="1"/>
  <c r="H68" i="1"/>
  <c r="I68" i="1" s="1"/>
  <c r="H72" i="1"/>
  <c r="I72" i="1" s="1"/>
  <c r="J72" i="1" s="1"/>
  <c r="H27" i="1"/>
  <c r="H61" i="1"/>
  <c r="H65" i="1"/>
  <c r="H31" i="1"/>
  <c r="H69" i="1"/>
  <c r="I69" i="1" s="1"/>
  <c r="J69" i="1" s="1"/>
  <c r="H28" i="1"/>
  <c r="I28" i="1" s="1"/>
  <c r="J28" i="1" s="1"/>
  <c r="H62" i="1"/>
  <c r="I62" i="1" s="1"/>
  <c r="H66" i="1"/>
  <c r="H32" i="1"/>
  <c r="I32" i="1" s="1"/>
  <c r="H47" i="1"/>
  <c r="H26" i="1"/>
  <c r="H42" i="1"/>
  <c r="H49" i="1"/>
  <c r="H56" i="1"/>
  <c r="H39" i="1"/>
  <c r="I39" i="1" s="1"/>
  <c r="H46" i="1"/>
  <c r="I46" i="1" s="1"/>
  <c r="J46" i="1" s="1"/>
  <c r="H53" i="1"/>
  <c r="I53" i="1" s="1"/>
  <c r="H60" i="1"/>
  <c r="I60" i="1" s="1"/>
  <c r="H63" i="1"/>
  <c r="I63" i="1" s="1"/>
  <c r="J63" i="1" s="1"/>
  <c r="H73" i="1"/>
  <c r="H30" i="1"/>
  <c r="I30" i="1" s="1"/>
  <c r="J30" i="1" s="1"/>
  <c r="H43" i="1"/>
  <c r="H50" i="1"/>
  <c r="H57" i="1"/>
  <c r="I57" i="1" s="1"/>
  <c r="H67" i="1"/>
  <c r="H70" i="1"/>
  <c r="I70" i="1" s="1"/>
  <c r="H24" i="1"/>
  <c r="I24" i="1" s="1"/>
  <c r="J24" i="1" s="1"/>
  <c r="H54" i="1"/>
  <c r="I54" i="1" s="1"/>
  <c r="J54" i="1" s="1"/>
  <c r="H64" i="1"/>
  <c r="I64" i="1" s="1"/>
  <c r="J64" i="1" s="1"/>
  <c r="H74" i="1"/>
  <c r="I74" i="1" s="1"/>
  <c r="J74" i="1" s="1"/>
  <c r="H22" i="1"/>
  <c r="H34" i="1"/>
  <c r="H37" i="1"/>
  <c r="H44" i="1"/>
  <c r="H51" i="1"/>
  <c r="H58" i="1"/>
  <c r="H71" i="1"/>
  <c r="I71" i="1" s="1"/>
  <c r="J71" i="1" s="1"/>
  <c r="J70" i="1"/>
  <c r="J55" i="1"/>
  <c r="A13" i="1"/>
  <c r="J53" i="1" l="1"/>
  <c r="K53" i="1" s="1"/>
  <c r="J32" i="1"/>
  <c r="K32" i="1" s="1"/>
  <c r="J60" i="1"/>
  <c r="K60" i="1" s="1"/>
  <c r="J68" i="1"/>
  <c r="K68" i="1" s="1"/>
  <c r="J38" i="1"/>
  <c r="K38" i="1" s="1"/>
  <c r="J40" i="1"/>
  <c r="K40" i="1" s="1"/>
  <c r="J35" i="1"/>
  <c r="K35" i="1" s="1"/>
  <c r="I43" i="1"/>
  <c r="J43" i="1" s="1"/>
  <c r="K43" i="1" s="1"/>
  <c r="I56" i="1"/>
  <c r="J56" i="1" s="1"/>
  <c r="K56" i="1" s="1"/>
  <c r="I49" i="1"/>
  <c r="J49" i="1" s="1"/>
  <c r="K49" i="1" s="1"/>
  <c r="I58" i="1"/>
  <c r="J58" i="1" s="1"/>
  <c r="K58" i="1" s="1"/>
  <c r="I73" i="1"/>
  <c r="J73" i="1" s="1"/>
  <c r="K73" i="1" s="1"/>
  <c r="I42" i="1"/>
  <c r="J42" i="1" s="1"/>
  <c r="K42" i="1" s="1"/>
  <c r="I31" i="1"/>
  <c r="J31" i="1" s="1"/>
  <c r="K31" i="1" s="1"/>
  <c r="I23" i="1"/>
  <c r="J23" i="1" s="1"/>
  <c r="K23" i="1" s="1"/>
  <c r="I51" i="1"/>
  <c r="J51" i="1" s="1"/>
  <c r="K51" i="1" s="1"/>
  <c r="I26" i="1"/>
  <c r="J26" i="1" s="1"/>
  <c r="K26" i="1" s="1"/>
  <c r="I65" i="1"/>
  <c r="J65" i="1" s="1"/>
  <c r="K65" i="1" s="1"/>
  <c r="J62" i="1"/>
  <c r="K62" i="1" s="1"/>
  <c r="J48" i="1"/>
  <c r="J57" i="1"/>
  <c r="K57" i="1" s="1"/>
  <c r="J39" i="1"/>
  <c r="K39" i="1" s="1"/>
  <c r="I44" i="1"/>
  <c r="J44" i="1" s="1"/>
  <c r="K44" i="1" s="1"/>
  <c r="I47" i="1"/>
  <c r="J47" i="1" s="1"/>
  <c r="K47" i="1" s="1"/>
  <c r="I61" i="1"/>
  <c r="J61" i="1" s="1"/>
  <c r="K61" i="1" s="1"/>
  <c r="J75" i="1"/>
  <c r="J59" i="1"/>
  <c r="K59" i="1" s="1"/>
  <c r="J36" i="1"/>
  <c r="K36" i="1" s="1"/>
  <c r="I37" i="1"/>
  <c r="J37" i="1" s="1"/>
  <c r="K37" i="1" s="1"/>
  <c r="I67" i="1"/>
  <c r="J67" i="1" s="1"/>
  <c r="K67" i="1" s="1"/>
  <c r="I27" i="1"/>
  <c r="J27" i="1" s="1"/>
  <c r="K27" i="1" s="1"/>
  <c r="J52" i="1"/>
  <c r="K52" i="1" s="1"/>
  <c r="J25" i="1"/>
  <c r="K25" i="1" s="1"/>
  <c r="J33" i="1"/>
  <c r="K33" i="1" s="1"/>
  <c r="J29" i="1"/>
  <c r="K29" i="1" s="1"/>
  <c r="I34" i="1"/>
  <c r="J34" i="1" s="1"/>
  <c r="K34" i="1" s="1"/>
  <c r="I66" i="1"/>
  <c r="J66" i="1" s="1"/>
  <c r="K66" i="1" s="1"/>
  <c r="I22" i="1"/>
  <c r="J22" i="1" s="1"/>
  <c r="K22" i="1" s="1"/>
  <c r="N22" i="1" s="1"/>
  <c r="Q22" i="1" s="1"/>
  <c r="I50" i="1"/>
  <c r="J50" i="1" s="1"/>
  <c r="K50" i="1" s="1"/>
  <c r="K71" i="1"/>
  <c r="K64" i="1"/>
  <c r="A19" i="1"/>
  <c r="B19" i="1" s="1"/>
  <c r="K70" i="1"/>
  <c r="K63" i="1"/>
  <c r="K28" i="1"/>
  <c r="K69" i="1"/>
  <c r="K55" i="1"/>
  <c r="A18" i="1"/>
  <c r="A16" i="1" s="1"/>
  <c r="K46" i="1"/>
  <c r="K75" i="1"/>
  <c r="M75" i="1" s="1"/>
  <c r="Q75" i="1" s="1"/>
  <c r="K54" i="1"/>
  <c r="K48" i="1"/>
  <c r="K41" i="1"/>
  <c r="K24" i="1"/>
  <c r="K74" i="1"/>
  <c r="K72" i="1"/>
  <c r="K45" i="1"/>
  <c r="K30" i="1"/>
  <c r="N32" i="1" l="1"/>
  <c r="M32" i="1"/>
  <c r="N66" i="1"/>
  <c r="M66" i="1"/>
  <c r="N47" i="1"/>
  <c r="M47" i="1"/>
  <c r="M69" i="1"/>
  <c r="N69" i="1"/>
  <c r="N61" i="1"/>
  <c r="M61" i="1"/>
  <c r="Q61" i="1" s="1"/>
  <c r="N29" i="1"/>
  <c r="M29" i="1"/>
  <c r="N60" i="1"/>
  <c r="M60" i="1"/>
  <c r="N54" i="1"/>
  <c r="M54" i="1"/>
  <c r="N30" i="1"/>
  <c r="M30" i="1"/>
  <c r="N72" i="1"/>
  <c r="M72" i="1"/>
  <c r="N26" i="1"/>
  <c r="M26" i="1"/>
  <c r="N37" i="1"/>
  <c r="M37" i="1"/>
  <c r="N23" i="1"/>
  <c r="M23" i="1"/>
  <c r="N53" i="1"/>
  <c r="M53" i="1"/>
  <c r="N68" i="1"/>
  <c r="M68" i="1"/>
  <c r="Q68" i="1" s="1"/>
  <c r="N46" i="1"/>
  <c r="M46" i="1"/>
  <c r="N28" i="1"/>
  <c r="M28" i="1"/>
  <c r="N36" i="1"/>
  <c r="M36" i="1"/>
  <c r="N44" i="1"/>
  <c r="M44" i="1"/>
  <c r="N31" i="1"/>
  <c r="M31" i="1"/>
  <c r="N67" i="1"/>
  <c r="M67" i="1"/>
  <c r="N74" i="1"/>
  <c r="M74" i="1"/>
  <c r="B18" i="1"/>
  <c r="N42" i="1"/>
  <c r="M42" i="1"/>
  <c r="N43" i="1"/>
  <c r="M43" i="1"/>
  <c r="N51" i="1"/>
  <c r="M51" i="1"/>
  <c r="N38" i="1"/>
  <c r="M38" i="1"/>
  <c r="N73" i="1"/>
  <c r="M73" i="1"/>
  <c r="N24" i="1"/>
  <c r="M24" i="1"/>
  <c r="M27" i="1"/>
  <c r="N27" i="1"/>
  <c r="N49" i="1"/>
  <c r="M49" i="1"/>
  <c r="N50" i="1"/>
  <c r="M50" i="1"/>
  <c r="N58" i="1"/>
  <c r="M58" i="1"/>
  <c r="N45" i="1"/>
  <c r="M45" i="1"/>
  <c r="N25" i="1"/>
  <c r="M25" i="1"/>
  <c r="N34" i="1"/>
  <c r="M34" i="1"/>
  <c r="M35" i="1"/>
  <c r="N35" i="1"/>
  <c r="N56" i="1"/>
  <c r="M56" i="1"/>
  <c r="M57" i="1"/>
  <c r="N57" i="1"/>
  <c r="N65" i="1"/>
  <c r="M65" i="1"/>
  <c r="N52" i="1"/>
  <c r="M52" i="1"/>
  <c r="N33" i="1"/>
  <c r="M33" i="1"/>
  <c r="N41" i="1"/>
  <c r="M41" i="1"/>
  <c r="Q41" i="1" s="1"/>
  <c r="M55" i="1"/>
  <c r="N55" i="1"/>
  <c r="N63" i="1"/>
  <c r="M63" i="1"/>
  <c r="N64" i="1"/>
  <c r="M64" i="1"/>
  <c r="N39" i="1"/>
  <c r="M39" i="1"/>
  <c r="N59" i="1"/>
  <c r="M59" i="1"/>
  <c r="N40" i="1"/>
  <c r="M40" i="1"/>
  <c r="N48" i="1"/>
  <c r="M48" i="1"/>
  <c r="M62" i="1"/>
  <c r="N62" i="1"/>
  <c r="N70" i="1"/>
  <c r="M70" i="1"/>
  <c r="N71" i="1"/>
  <c r="M71" i="1"/>
  <c r="Q53" i="1" l="1"/>
  <c r="Q48" i="1"/>
  <c r="Q71" i="1"/>
  <c r="B16" i="1"/>
  <c r="A17" i="1"/>
  <c r="B17" i="1" s="1"/>
  <c r="Q35" i="1"/>
</calcChain>
</file>

<file path=xl/sharedStrings.xml><?xml version="1.0" encoding="utf-8"?>
<sst xmlns="http://schemas.openxmlformats.org/spreadsheetml/2006/main" count="144" uniqueCount="144">
  <si>
    <t>RIDGEWAY 40 SCHEDULE CALCULATOR</t>
  </si>
  <si>
    <t>Total time including stops (hours)</t>
  </si>
  <si>
    <t>Total breaks (hours)</t>
  </si>
  <si>
    <t>Total walking time (hours)</t>
  </si>
  <si>
    <t>km/h</t>
  </si>
  <si>
    <t>mph</t>
  </si>
  <si>
    <t>Grid ref</t>
  </si>
  <si>
    <t>Description
(abbrevs below)</t>
  </si>
  <si>
    <t>equivalent
distance
on flat
(km)</t>
  </si>
  <si>
    <t>fraction
by equiv
flat
distance</t>
  </si>
  <si>
    <t>(for
internal
calculation)</t>
  </si>
  <si>
    <t>fraction
by
walking
time</t>
  </si>
  <si>
    <t>total
walking
time
(hours)</t>
  </si>
  <si>
    <t>total
break
time
(hours)</t>
  </si>
  <si>
    <t>SU118680</t>
  </si>
  <si>
    <t>START (Overton Hill)</t>
  </si>
  <si>
    <t>SU118687</t>
  </si>
  <si>
    <t>J byway L</t>
  </si>
  <si>
    <t>SU125708</t>
  </si>
  <si>
    <t>J byway L + BW R ("Green Street")</t>
  </si>
  <si>
    <t>SU126714</t>
  </si>
  <si>
    <t>J FP R</t>
  </si>
  <si>
    <t>SU126721</t>
  </si>
  <si>
    <t>J BW R (by copse on L)</t>
  </si>
  <si>
    <t>SU125729</t>
  </si>
  <si>
    <t>J BW R (RW bends L)</t>
  </si>
  <si>
    <t>SU124738</t>
  </si>
  <si>
    <t>J byway L (valley on R)</t>
  </si>
  <si>
    <t>SU129747</t>
  </si>
  <si>
    <t>J road (nr White Horse)</t>
  </si>
  <si>
    <t>SU136758</t>
  </si>
  <si>
    <t>J FP L (start of wood on R)</t>
  </si>
  <si>
    <t>SU145763</t>
  </si>
  <si>
    <t>J road (before Barbury Castle)</t>
  </si>
  <si>
    <t>SU157760</t>
  </si>
  <si>
    <t>J road (after Barbury Castle)</t>
  </si>
  <si>
    <t>SU170763</t>
  </si>
  <si>
    <t>J BW L + R (after downhill)</t>
  </si>
  <si>
    <t>SU185765</t>
  </si>
  <si>
    <t>J road</t>
  </si>
  <si>
    <t>SU197766</t>
  </si>
  <si>
    <t>CP 1 (Whitefield Hill)</t>
  </si>
  <si>
    <t>SU212765</t>
  </si>
  <si>
    <t>J byways. RW turns L</t>
  </si>
  <si>
    <t>SU213773</t>
  </si>
  <si>
    <t>J byways L + R</t>
  </si>
  <si>
    <t>SU214779</t>
  </si>
  <si>
    <t>J BW L, byway R</t>
  </si>
  <si>
    <t>SU218804</t>
  </si>
  <si>
    <t>SU225808</t>
  </si>
  <si>
    <t>cross M4</t>
  </si>
  <si>
    <t>SU233814</t>
  </si>
  <si>
    <t>CP 2 (Fox Hill)</t>
  </si>
  <si>
    <t>SU248823</t>
  </si>
  <si>
    <t>J BW L + R (deep valley on L)</t>
  </si>
  <si>
    <t>SU252826</t>
  </si>
  <si>
    <t>J road (Ridgeway Farm)</t>
  </si>
  <si>
    <t>SU263835</t>
  </si>
  <si>
    <t>J road L, RB R (top of hill)</t>
  </si>
  <si>
    <t>SU273843</t>
  </si>
  <si>
    <t>J B4000 L (Ashbury Hill) + R</t>
  </si>
  <si>
    <t>SU279851</t>
  </si>
  <si>
    <t>J RB L (D'Arcy Dalton Way) + R</t>
  </si>
  <si>
    <t>SU285855</t>
  </si>
  <si>
    <t>J road L (Knighton), r.o.w. R</t>
  </si>
  <si>
    <t>SU294859</t>
  </si>
  <si>
    <t>CP 3 (near Uffington Castle)</t>
  </si>
  <si>
    <t>SU300862</t>
  </si>
  <si>
    <t>J BW L (Uffington Castle)</t>
  </si>
  <si>
    <t>SU308864</t>
  </si>
  <si>
    <t>J FP L</t>
  </si>
  <si>
    <t>SU322862</t>
  </si>
  <si>
    <t>J road L (Blowingstone Hill) + R</t>
  </si>
  <si>
    <t>SU330858</t>
  </si>
  <si>
    <t>J r.o.w. L, RB R (in saddle)</t>
  </si>
  <si>
    <t>SU342852</t>
  </si>
  <si>
    <t>CP 4 (Eastmanton Down)</t>
  </si>
  <si>
    <t>SU347846</t>
  </si>
  <si>
    <t>J FP L (by Devil’s Punchbowl)</t>
  </si>
  <si>
    <t>SU370840</t>
  </si>
  <si>
    <t>J road L + R (Gramp's Hill)</t>
  </si>
  <si>
    <t>SU377840</t>
  </si>
  <si>
    <t>J road L (Smith’s Hill)</t>
  </si>
  <si>
    <t>SU383841</t>
  </si>
  <si>
    <t>J RB L (to Segsbury Castle)</t>
  </si>
  <si>
    <t>SU394844</t>
  </si>
  <si>
    <t>join A338</t>
  </si>
  <si>
    <t>SU405844</t>
  </si>
  <si>
    <t>J RB L (RW turns R)</t>
  </si>
  <si>
    <t>SU409841</t>
  </si>
  <si>
    <t>J RB straight on (RW turns slight L)</t>
  </si>
  <si>
    <t>SU418841</t>
  </si>
  <si>
    <t>CP 5 (Yew Down)</t>
  </si>
  <si>
    <t>SU432846</t>
  </si>
  <si>
    <t>J RB R (Wether Down)</t>
  </si>
  <si>
    <t>SU443849</t>
  </si>
  <si>
    <t>J BW L + R (start of wood on L)</t>
  </si>
  <si>
    <t>SU458850</t>
  </si>
  <si>
    <t>J road L, RB R (Fore Down)</t>
  </si>
  <si>
    <t>SU479840</t>
  </si>
  <si>
    <t>J road L + R (Bury Down)</t>
  </si>
  <si>
    <t>SU490834</t>
  </si>
  <si>
    <t>A34 underpass</t>
  </si>
  <si>
    <t>SU503825</t>
  </si>
  <si>
    <t>J BW R (beside gallops) + L</t>
  </si>
  <si>
    <t>SU508818</t>
  </si>
  <si>
    <t>CP 6 (Compton Downs)</t>
  </si>
  <si>
    <t>SU519823</t>
  </si>
  <si>
    <t>cross disused railway</t>
  </si>
  <si>
    <t>SU534819</t>
  </si>
  <si>
    <t>J byway L + R (just after J BW)</t>
  </si>
  <si>
    <t>SU540815</t>
  </si>
  <si>
    <t>CP 7 (Starveall Turn)</t>
  </si>
  <si>
    <t>SU549812</t>
  </si>
  <si>
    <t>J byway R (near Warren Farm)</t>
  </si>
  <si>
    <t>SU567812</t>
  </si>
  <si>
    <t>join road</t>
  </si>
  <si>
    <t>SU589814</t>
  </si>
  <si>
    <t>join A417</t>
  </si>
  <si>
    <t>SU598808</t>
  </si>
  <si>
    <t>END (Goring Village Hall)</t>
  </si>
  <si>
    <r>
      <t>Key to abbreviations in description:
J</t>
    </r>
    <r>
      <rPr>
        <sz val="10"/>
        <rFont val="TeXGyreHeros"/>
        <family val="2"/>
      </rPr>
      <t xml:space="preserve">: junction with … (on stated side)
</t>
    </r>
    <r>
      <rPr>
        <b/>
        <sz val="10"/>
        <rFont val="TeXGyreHeros"/>
        <family val="2"/>
      </rPr>
      <t>FP</t>
    </r>
    <r>
      <rPr>
        <sz val="10"/>
        <rFont val="TeXGyreHeros"/>
        <family val="2"/>
      </rPr>
      <t xml:space="preserve">: footpath
</t>
    </r>
    <r>
      <rPr>
        <b/>
        <sz val="10"/>
        <rFont val="TeXGyreHeros"/>
        <family val="2"/>
      </rPr>
      <t>BW</t>
    </r>
    <r>
      <rPr>
        <sz val="10"/>
        <rFont val="TeXGyreHeros"/>
        <family val="2"/>
      </rPr>
      <t xml:space="preserve">: bridleway
</t>
    </r>
    <r>
      <rPr>
        <b/>
        <sz val="10"/>
        <rFont val="TeXGyreHeros"/>
        <family val="2"/>
      </rPr>
      <t>RB</t>
    </r>
    <r>
      <rPr>
        <sz val="10"/>
        <rFont val="TeXGyreHeros"/>
        <family val="2"/>
      </rPr>
      <t xml:space="preserve">: restricted byway
</t>
    </r>
    <r>
      <rPr>
        <b/>
        <sz val="10"/>
        <rFont val="TeXGyreHeros"/>
        <family val="2"/>
      </rPr>
      <t>r.o.w.</t>
    </r>
    <r>
      <rPr>
        <sz val="10"/>
        <rFont val="TeXGyreHeros"/>
        <family val="2"/>
      </rPr>
      <t xml:space="preserve">: other right of way
</t>
    </r>
    <r>
      <rPr>
        <b/>
        <sz val="10"/>
        <rFont val="TeXGyreHeros"/>
        <family val="2"/>
      </rPr>
      <t>RW</t>
    </r>
    <r>
      <rPr>
        <sz val="10"/>
        <rFont val="TeXGyreHeros"/>
        <family val="2"/>
      </rPr>
      <t xml:space="preserve">: Ridgeway
</t>
    </r>
    <r>
      <rPr>
        <b/>
        <sz val="10"/>
        <rFont val="TeXGyreHeros"/>
        <family val="2"/>
      </rPr>
      <t>L</t>
    </r>
    <r>
      <rPr>
        <sz val="10"/>
        <rFont val="TeXGyreHeros"/>
        <family val="2"/>
      </rPr>
      <t xml:space="preserve">: left
</t>
    </r>
    <r>
      <rPr>
        <b/>
        <sz val="10"/>
        <rFont val="TeXGyreHeros"/>
        <family val="2"/>
      </rPr>
      <t>R</t>
    </r>
    <r>
      <rPr>
        <sz val="10"/>
        <rFont val="TeXGyreHeros"/>
        <family val="2"/>
      </rPr>
      <t xml:space="preserve">: right
</t>
    </r>
    <r>
      <rPr>
        <b/>
        <sz val="10"/>
        <rFont val="TeXGyreHeros"/>
        <family val="2"/>
      </rPr>
      <t>CP</t>
    </r>
    <r>
      <rPr>
        <sz val="10"/>
        <rFont val="TeXGyreHeros"/>
        <family val="2"/>
      </rPr>
      <t>: checkpoint</t>
    </r>
  </si>
  <si>
    <t>break
(mins)</t>
  </si>
  <si>
    <t>Arrive</t>
  </si>
  <si>
    <t>Depart</t>
  </si>
  <si>
    <t>dist (km)</t>
  </si>
  <si>
    <t>dist (mile)</t>
  </si>
  <si>
    <t>total ascent
(m)</t>
  </si>
  <si>
    <t>CP open time</t>
  </si>
  <si>
    <t>CP close time</t>
  </si>
  <si>
    <t>CP open?</t>
  </si>
  <si>
    <t>Calculates estimated timings with allowance for gradual slow-down, hills and breaks.</t>
  </si>
  <si>
    <t>Percentage slow-down from start to finish (speed slows progressively with distance walked)</t>
  </si>
  <si>
    <t>(Blue boxes contain formulas. Green boxes contain other inputs that you probably needn't change.)</t>
  </si>
  <si>
    <t>scale factor to convert ascent into equivalent extra distance on the flat</t>
  </si>
  <si>
    <t>Start time</t>
  </si>
  <si>
    <t>End time</t>
  </si>
  <si>
    <t>join B4192 after Liddington Castle</t>
  </si>
  <si>
    <t>Initial walking speed (flat equivalent)</t>
  </si>
  <si>
    <t>Final walking speed (flat equivalent)</t>
  </si>
  <si>
    <t>Average walking speed (flat equivalent)</t>
  </si>
  <si>
    <t>Average walking speed (actual with hills)</t>
  </si>
  <si>
    <t>Average progress (actual with hills, including stops)</t>
  </si>
  <si>
    <t>Enter data into the YELLOW boxes based on your aims.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</si>
</sst>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>
    <font>
      <sz val="10"/>
      <name val="TeXGyreHeros"/>
      <family val="2"/>
    </font>
    <font>
      <sz val="12"/>
      <name val="TeXGyreHeros"/>
      <family val="2"/>
    </font>
    <font>
      <b/>
      <sz val="14"/>
      <name val="TeXGyreHeros"/>
      <family val="2"/>
    </font>
    <font>
      <b/>
      <sz val="12"/>
      <name val="TeXGyreHeros"/>
      <family val="2"/>
    </font>
    <font>
      <b/>
      <sz val="10"/>
      <name val="TeXGyreHeros"/>
      <family val="2"/>
    </font>
    <font>
      <b/>
      <sz val="11"/>
      <name val="TeXGyreHeros"/>
      <family val="2"/>
    </font>
    <font>
      <sz val="11"/>
      <name val="TeXGyreHeros"/>
      <family val="2"/>
    </font>
    <font>
      <b/>
      <sz val="12"/>
      <name val="TeXGyreHeros"/>
    </font>
    <font>
      <sz val="12"/>
      <name val="TeXGyreHeros"/>
    </font>
    <font>
      <sz val="11"/>
      <name val="TeXGyreHeros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D8D"/>
        <bgColor rgb="FFCCFFCC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3" tint="0.79998168889431442"/>
        <bgColor rgb="FFCCFFCC"/>
      </patternFill>
    </fill>
    <fill>
      <patternFill patternType="solid">
        <fgColor theme="6" tint="0.59999389629810485"/>
        <bgColor rgb="FFCC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7" fillId="0" borderId="0" xfId="0" applyFont="1"/>
    <xf numFmtId="2" fontId="1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20" fontId="3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vertical="center"/>
    </xf>
    <xf numFmtId="165" fontId="6" fillId="4" borderId="0" xfId="0" applyNumberFormat="1" applyFont="1" applyFill="1" applyAlignment="1">
      <alignment vertical="center"/>
    </xf>
    <xf numFmtId="165" fontId="8" fillId="4" borderId="0" xfId="0" applyNumberFormat="1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20" fontId="6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vertical="center"/>
    </xf>
    <xf numFmtId="164" fontId="9" fillId="5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20" fontId="1" fillId="6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DDD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70" zoomScaleNormal="70" workbookViewId="0"/>
  </sheetViews>
  <sheetFormatPr defaultRowHeight="15"/>
  <cols>
    <col min="1" max="1" width="11.85546875" customWidth="1"/>
    <col min="2" max="2" width="9.85546875"/>
    <col min="3" max="3" width="8.5703125" customWidth="1"/>
    <col min="4" max="4" width="8.85546875"/>
    <col min="5" max="5" width="33.42578125" customWidth="1"/>
    <col min="6" max="6" width="10"/>
    <col min="7" max="12" width="9.140625" hidden="1" customWidth="1"/>
    <col min="13" max="13" width="9"/>
    <col min="14" max="14" width="8.7109375"/>
    <col min="15" max="16" width="7.7109375" style="1"/>
    <col min="17" max="17" width="10.7109375" style="1" customWidth="1"/>
    <col min="18" max="1025" width="11.5703125"/>
  </cols>
  <sheetData>
    <row r="1" spans="1:17" s="2" customFormat="1" ht="18">
      <c r="A1" s="2" t="s">
        <v>0</v>
      </c>
      <c r="O1" s="3"/>
      <c r="P1" s="3"/>
      <c r="Q1" s="3"/>
    </row>
    <row r="2" spans="1:17" s="2" customFormat="1" ht="18">
      <c r="A2" s="2" t="s">
        <v>131</v>
      </c>
      <c r="O2" s="3"/>
      <c r="P2" s="3"/>
      <c r="Q2" s="3"/>
    </row>
    <row r="3" spans="1:17" s="2" customFormat="1" ht="18">
      <c r="A3" s="2" t="s">
        <v>143</v>
      </c>
      <c r="O3" s="3"/>
      <c r="P3" s="3"/>
      <c r="Q3" s="3"/>
    </row>
    <row r="4" spans="1:17" s="3" customFormat="1" ht="15.75">
      <c r="A4" s="19" t="s">
        <v>133</v>
      </c>
    </row>
    <row r="5" spans="1:17" s="4" customFormat="1" ht="15.75">
      <c r="A5"/>
      <c r="O5" s="3"/>
      <c r="P5" s="3"/>
      <c r="Q5" s="3"/>
    </row>
    <row r="6" spans="1:17" s="3" customFormat="1" ht="15.75">
      <c r="A6" s="5">
        <v>0.33333333333333298</v>
      </c>
      <c r="B6" s="20" t="s">
        <v>135</v>
      </c>
    </row>
    <row r="7" spans="1:17" s="3" customFormat="1" ht="15.75" customHeight="1">
      <c r="A7" s="5">
        <v>0.88541666666666663</v>
      </c>
      <c r="B7" s="20" t="s">
        <v>136</v>
      </c>
    </row>
    <row r="8" spans="1:17" s="3" customFormat="1" ht="15.75" customHeight="1">
      <c r="A8" s="6">
        <v>25</v>
      </c>
      <c r="B8" s="1" t="s">
        <v>132</v>
      </c>
    </row>
    <row r="9" spans="1:17" ht="19.899999999999999" customHeight="1"/>
    <row r="10" spans="1:17" s="8" customFormat="1" ht="15.75">
      <c r="A10" s="7">
        <v>8</v>
      </c>
      <c r="B10" s="1" t="s">
        <v>134</v>
      </c>
      <c r="O10" s="3"/>
      <c r="P10" s="3"/>
      <c r="Q10" s="3"/>
    </row>
    <row r="11" spans="1:17" s="3" customFormat="1" ht="15.75">
      <c r="A11" s="21">
        <f>(A7-A6)*24</f>
        <v>13.250000000000009</v>
      </c>
      <c r="B11" s="1" t="s">
        <v>1</v>
      </c>
    </row>
    <row r="12" spans="1:17" s="3" customFormat="1" ht="15.75">
      <c r="A12" s="21">
        <f>SUM(F22:F75) / 60</f>
        <v>0.75</v>
      </c>
      <c r="B12" s="1" t="s">
        <v>2</v>
      </c>
    </row>
    <row r="13" spans="1:17" s="3" customFormat="1" ht="15.75">
      <c r="A13" s="21">
        <f>A11-A12</f>
        <v>12.500000000000009</v>
      </c>
      <c r="B13" s="1" t="s">
        <v>3</v>
      </c>
    </row>
    <row r="15" spans="1:17" s="3" customFormat="1" ht="15.75">
      <c r="A15" s="9" t="s">
        <v>4</v>
      </c>
      <c r="B15" s="9" t="s">
        <v>5</v>
      </c>
    </row>
    <row r="16" spans="1:17" s="3" customFormat="1" ht="15.75">
      <c r="A16" s="21">
        <f>IF(A8=0,A18,-A18*LN(1-A8/100)/(A8/100))</f>
        <v>6.4915804867231266</v>
      </c>
      <c r="B16" s="21">
        <f>A16/1.609</f>
        <v>4.0345434970311542</v>
      </c>
      <c r="C16" s="1" t="s">
        <v>138</v>
      </c>
    </row>
    <row r="17" spans="1:17" s="3" customFormat="1" ht="15.75">
      <c r="A17" s="21">
        <f>A16*(1-A8/100)</f>
        <v>4.8686853650423449</v>
      </c>
      <c r="B17" s="21">
        <f>A17/1.609</f>
        <v>3.0259076227733654</v>
      </c>
      <c r="C17" s="1" t="s">
        <v>139</v>
      </c>
    </row>
    <row r="18" spans="1:17" s="3" customFormat="1" ht="15.75">
      <c r="A18" s="21">
        <f>G75/A13</f>
        <v>5.6412799999999965</v>
      </c>
      <c r="B18" s="21">
        <f>A18/1.609</f>
        <v>3.5060783095090096</v>
      </c>
      <c r="C18" s="1" t="s">
        <v>140</v>
      </c>
    </row>
    <row r="19" spans="1:17" s="3" customFormat="1" ht="15.75">
      <c r="A19" s="21">
        <f>C75/A13</f>
        <v>5.1599999999999966</v>
      </c>
      <c r="B19" s="21">
        <f>A19/1.609</f>
        <v>3.2069608452454919</v>
      </c>
      <c r="C19" s="1" t="s">
        <v>141</v>
      </c>
    </row>
    <row r="20" spans="1:17" s="3" customFormat="1" ht="15.75">
      <c r="A20" s="21">
        <f>C75/A11</f>
        <v>4.8679245283018835</v>
      </c>
      <c r="B20" s="21">
        <f>A20/1.609</f>
        <v>3.0254347596655586</v>
      </c>
      <c r="C20" s="1" t="s">
        <v>142</v>
      </c>
    </row>
    <row r="21" spans="1:17" s="3" customFormat="1" ht="110.25">
      <c r="A21" s="3" t="s">
        <v>6</v>
      </c>
      <c r="B21" s="10" t="s">
        <v>127</v>
      </c>
      <c r="C21" s="10" t="s">
        <v>125</v>
      </c>
      <c r="D21" s="10" t="s">
        <v>126</v>
      </c>
      <c r="E21" s="10" t="s">
        <v>7</v>
      </c>
      <c r="F21" s="10" t="s">
        <v>122</v>
      </c>
      <c r="G21" s="10" t="s">
        <v>8</v>
      </c>
      <c r="H21" s="10" t="s">
        <v>9</v>
      </c>
      <c r="I21" s="10" t="s">
        <v>10</v>
      </c>
      <c r="J21" s="10" t="s">
        <v>11</v>
      </c>
      <c r="K21" s="10" t="s">
        <v>12</v>
      </c>
      <c r="L21" s="10" t="s">
        <v>13</v>
      </c>
      <c r="M21" s="3" t="s">
        <v>123</v>
      </c>
      <c r="N21" s="3" t="s">
        <v>124</v>
      </c>
      <c r="O21" s="11" t="s">
        <v>128</v>
      </c>
      <c r="P21" s="11" t="s">
        <v>129</v>
      </c>
      <c r="Q21" s="11" t="s">
        <v>130</v>
      </c>
    </row>
    <row r="22" spans="1:17" s="13" customFormat="1" ht="28.9" customHeight="1">
      <c r="A22" s="12" t="s">
        <v>14</v>
      </c>
      <c r="B22" s="34">
        <v>0</v>
      </c>
      <c r="C22" s="34">
        <v>0</v>
      </c>
      <c r="D22" s="32">
        <f t="shared" ref="D22:D53" si="0">C22/1.609</f>
        <v>0</v>
      </c>
      <c r="E22" s="12" t="s">
        <v>15</v>
      </c>
      <c r="F22" s="6"/>
      <c r="G22" s="22">
        <f t="shared" ref="G22:G53" si="1">C22+B22*$A$10/1000</f>
        <v>0</v>
      </c>
      <c r="H22" s="23">
        <f t="shared" ref="H22:H53" si="2">G22/G$75</f>
        <v>0</v>
      </c>
      <c r="I22" s="23">
        <f t="shared" ref="I22:I53" si="3">IF($A$8=0,H22,LN(1-$A$8*H22/H$75/100))</f>
        <v>0</v>
      </c>
      <c r="J22" s="23">
        <f t="shared" ref="J22:J53" si="4">I22/I$75</f>
        <v>0</v>
      </c>
      <c r="K22" s="24">
        <f t="shared" ref="K22:K53" si="5">$A$13*J22</f>
        <v>0</v>
      </c>
      <c r="L22" s="24">
        <f>F22/60</f>
        <v>0</v>
      </c>
      <c r="M22" s="25"/>
      <c r="N22" s="25">
        <f t="shared" ref="N22:N53" si="6">$A$6+(K22+L22)/24</f>
        <v>0.33333333333333298</v>
      </c>
      <c r="O22" s="36">
        <v>0.32291666666666702</v>
      </c>
      <c r="P22" s="36">
        <v>0.35416666666666702</v>
      </c>
      <c r="Q22" s="31" t="str">
        <f>IF(OR(N22&gt;P22,N22&lt;O22), "CLOSED", "ok")</f>
        <v>ok</v>
      </c>
    </row>
    <row r="23" spans="1:17" s="17" customFormat="1" ht="15.75">
      <c r="A23" s="14" t="s">
        <v>16</v>
      </c>
      <c r="B23" s="35">
        <v>25</v>
      </c>
      <c r="C23" s="35">
        <v>0.7</v>
      </c>
      <c r="D23" s="33">
        <f t="shared" si="0"/>
        <v>0.43505282784338095</v>
      </c>
      <c r="E23" s="14" t="s">
        <v>17</v>
      </c>
      <c r="F23" s="15"/>
      <c r="G23" s="26">
        <f t="shared" si="1"/>
        <v>0.89999999999999991</v>
      </c>
      <c r="H23" s="27">
        <f t="shared" si="2"/>
        <v>1.2763060865619147E-2</v>
      </c>
      <c r="I23" s="28">
        <f t="shared" si="3"/>
        <v>-3.1958665620924766E-3</v>
      </c>
      <c r="J23" s="27">
        <f t="shared" si="4"/>
        <v>1.1109022313610257E-2</v>
      </c>
      <c r="K23" s="29">
        <f t="shared" si="5"/>
        <v>0.13886277892012833</v>
      </c>
      <c r="L23" s="29">
        <f t="shared" ref="L23:L54" si="7">L22+F23/60</f>
        <v>0</v>
      </c>
      <c r="M23" s="30">
        <f t="shared" ref="M23:M54" si="8">$A$6+(K23+L22)/24</f>
        <v>0.339119282455005</v>
      </c>
      <c r="N23" s="30">
        <f t="shared" si="6"/>
        <v>0.339119282455005</v>
      </c>
      <c r="O23" s="16"/>
      <c r="P23" s="16"/>
      <c r="Q23" s="9"/>
    </row>
    <row r="24" spans="1:17" s="17" customFormat="1" ht="15.75">
      <c r="A24" s="14" t="s">
        <v>18</v>
      </c>
      <c r="B24" s="35">
        <v>56</v>
      </c>
      <c r="C24" s="35">
        <v>2.9</v>
      </c>
      <c r="D24" s="33">
        <f t="shared" si="0"/>
        <v>1.8023617153511498</v>
      </c>
      <c r="E24" s="14" t="s">
        <v>19</v>
      </c>
      <c r="F24" s="15"/>
      <c r="G24" s="26">
        <f t="shared" si="1"/>
        <v>3.3479999999999999</v>
      </c>
      <c r="H24" s="27">
        <f t="shared" si="2"/>
        <v>4.7478586420103233E-2</v>
      </c>
      <c r="I24" s="28">
        <f t="shared" si="3"/>
        <v>-1.1940653302552225E-2</v>
      </c>
      <c r="J24" s="27">
        <f t="shared" si="4"/>
        <v>4.1506421310120487E-2</v>
      </c>
      <c r="K24" s="29">
        <f t="shared" si="5"/>
        <v>0.51883026637650642</v>
      </c>
      <c r="L24" s="29">
        <f t="shared" si="7"/>
        <v>0</v>
      </c>
      <c r="M24" s="30">
        <f t="shared" si="8"/>
        <v>0.35495126109902075</v>
      </c>
      <c r="N24" s="30">
        <f t="shared" si="6"/>
        <v>0.35495126109902075</v>
      </c>
      <c r="O24" s="16"/>
      <c r="P24" s="16"/>
      <c r="Q24" s="9"/>
    </row>
    <row r="25" spans="1:17" s="17" customFormat="1" ht="15.75">
      <c r="A25" s="14" t="s">
        <v>20</v>
      </c>
      <c r="B25" s="35">
        <v>80</v>
      </c>
      <c r="C25" s="35">
        <v>3.5</v>
      </c>
      <c r="D25" s="33">
        <f t="shared" si="0"/>
        <v>2.175264139216905</v>
      </c>
      <c r="E25" s="14" t="s">
        <v>21</v>
      </c>
      <c r="F25" s="15"/>
      <c r="G25" s="26">
        <f t="shared" si="1"/>
        <v>4.1399999999999997</v>
      </c>
      <c r="H25" s="27">
        <f t="shared" si="2"/>
        <v>5.871007998184808E-2</v>
      </c>
      <c r="I25" s="28">
        <f t="shared" si="3"/>
        <v>-1.4786300523192819E-2</v>
      </c>
      <c r="J25" s="27">
        <f t="shared" si="4"/>
        <v>5.1398060355920122E-2</v>
      </c>
      <c r="K25" s="29">
        <f t="shared" si="5"/>
        <v>0.64247575444900196</v>
      </c>
      <c r="L25" s="29">
        <f t="shared" si="7"/>
        <v>0</v>
      </c>
      <c r="M25" s="30">
        <f t="shared" si="8"/>
        <v>0.36010315643537472</v>
      </c>
      <c r="N25" s="30">
        <f t="shared" si="6"/>
        <v>0.36010315643537472</v>
      </c>
      <c r="O25" s="16"/>
      <c r="P25" s="16"/>
      <c r="Q25" s="9"/>
    </row>
    <row r="26" spans="1:17" s="17" customFormat="1" ht="15.75">
      <c r="A26" s="14" t="s">
        <v>22</v>
      </c>
      <c r="B26" s="35">
        <v>88</v>
      </c>
      <c r="C26" s="35">
        <v>4.2</v>
      </c>
      <c r="D26" s="33">
        <f t="shared" si="0"/>
        <v>2.6103169670602862</v>
      </c>
      <c r="E26" s="14" t="s">
        <v>23</v>
      </c>
      <c r="F26" s="15"/>
      <c r="G26" s="26">
        <f t="shared" si="1"/>
        <v>4.9039999999999999</v>
      </c>
      <c r="H26" s="27">
        <f t="shared" si="2"/>
        <v>6.9544500538884779E-2</v>
      </c>
      <c r="I26" s="28">
        <f t="shared" si="3"/>
        <v>-1.7539038784207022E-2</v>
      </c>
      <c r="J26" s="27">
        <f t="shared" si="4"/>
        <v>6.0966742330274278E-2</v>
      </c>
      <c r="K26" s="29">
        <f t="shared" si="5"/>
        <v>0.76208427912842902</v>
      </c>
      <c r="L26" s="29">
        <f t="shared" si="7"/>
        <v>0</v>
      </c>
      <c r="M26" s="30">
        <f t="shared" si="8"/>
        <v>0.36508684496368421</v>
      </c>
      <c r="N26" s="30">
        <f t="shared" si="6"/>
        <v>0.36508684496368421</v>
      </c>
      <c r="O26" s="16"/>
      <c r="P26" s="16"/>
      <c r="Q26" s="9"/>
    </row>
    <row r="27" spans="1:17" s="17" customFormat="1" ht="15.75">
      <c r="A27" s="14" t="s">
        <v>24</v>
      </c>
      <c r="B27" s="35">
        <v>98</v>
      </c>
      <c r="C27" s="35">
        <v>5.0999999999999996</v>
      </c>
      <c r="D27" s="33">
        <f t="shared" si="0"/>
        <v>3.1696706028589183</v>
      </c>
      <c r="E27" s="14" t="s">
        <v>25</v>
      </c>
      <c r="F27" s="15"/>
      <c r="G27" s="26">
        <f t="shared" si="1"/>
        <v>5.8839999999999995</v>
      </c>
      <c r="H27" s="27">
        <f t="shared" si="2"/>
        <v>8.3442055703670082E-2</v>
      </c>
      <c r="I27" s="28">
        <f t="shared" si="3"/>
        <v>-2.1081168486182481E-2</v>
      </c>
      <c r="J27" s="27">
        <f t="shared" si="4"/>
        <v>7.3279395919660401E-2</v>
      </c>
      <c r="K27" s="29">
        <f t="shared" si="5"/>
        <v>0.9159924489957556</v>
      </c>
      <c r="L27" s="29">
        <f t="shared" si="7"/>
        <v>0</v>
      </c>
      <c r="M27" s="30">
        <f t="shared" si="8"/>
        <v>0.37149968537482281</v>
      </c>
      <c r="N27" s="30">
        <f t="shared" si="6"/>
        <v>0.37149968537482281</v>
      </c>
      <c r="O27" s="16"/>
      <c r="P27" s="16"/>
      <c r="Q27" s="9"/>
    </row>
    <row r="28" spans="1:17" s="17" customFormat="1" ht="15.75">
      <c r="A28" s="14" t="s">
        <v>26</v>
      </c>
      <c r="B28" s="35">
        <v>101</v>
      </c>
      <c r="C28" s="35">
        <v>6</v>
      </c>
      <c r="D28" s="33">
        <f t="shared" si="0"/>
        <v>3.7290242386575514</v>
      </c>
      <c r="E28" s="14" t="s">
        <v>27</v>
      </c>
      <c r="F28" s="15"/>
      <c r="G28" s="26">
        <f t="shared" si="1"/>
        <v>6.8079999999999998</v>
      </c>
      <c r="H28" s="27">
        <f t="shared" si="2"/>
        <v>9.6545464859039073E-2</v>
      </c>
      <c r="I28" s="28">
        <f t="shared" si="3"/>
        <v>-2.4432421813056559E-2</v>
      </c>
      <c r="J28" s="27">
        <f t="shared" si="4"/>
        <v>8.4928551872664002E-2</v>
      </c>
      <c r="K28" s="29">
        <f t="shared" si="5"/>
        <v>1.0616068984083007</v>
      </c>
      <c r="L28" s="29">
        <f t="shared" si="7"/>
        <v>0</v>
      </c>
      <c r="M28" s="30">
        <f t="shared" si="8"/>
        <v>0.37756695410034552</v>
      </c>
      <c r="N28" s="30">
        <f t="shared" si="6"/>
        <v>0.37756695410034552</v>
      </c>
      <c r="O28" s="16"/>
      <c r="P28" s="16"/>
      <c r="Q28" s="9"/>
    </row>
    <row r="29" spans="1:17" s="17" customFormat="1" ht="15.75">
      <c r="A29" s="14" t="s">
        <v>28</v>
      </c>
      <c r="B29" s="35">
        <v>116</v>
      </c>
      <c r="C29" s="35">
        <v>7</v>
      </c>
      <c r="D29" s="33">
        <f t="shared" si="0"/>
        <v>4.35052827843381</v>
      </c>
      <c r="E29" s="14" t="s">
        <v>29</v>
      </c>
      <c r="F29" s="15"/>
      <c r="G29" s="26">
        <f t="shared" si="1"/>
        <v>7.9279999999999999</v>
      </c>
      <c r="H29" s="27">
        <f t="shared" si="2"/>
        <v>0.11242838504736513</v>
      </c>
      <c r="I29" s="28">
        <f t="shared" si="3"/>
        <v>-2.8509661931450516E-2</v>
      </c>
      <c r="J29" s="27">
        <f t="shared" si="4"/>
        <v>9.9101281106868735E-2</v>
      </c>
      <c r="K29" s="29">
        <f t="shared" si="5"/>
        <v>1.23876601383586</v>
      </c>
      <c r="L29" s="29">
        <f t="shared" si="7"/>
        <v>0</v>
      </c>
      <c r="M29" s="30">
        <f t="shared" si="8"/>
        <v>0.38494858390982717</v>
      </c>
      <c r="N29" s="30">
        <f t="shared" si="6"/>
        <v>0.38494858390982717</v>
      </c>
      <c r="O29" s="16"/>
      <c r="P29" s="16"/>
      <c r="Q29" s="9"/>
    </row>
    <row r="30" spans="1:17" s="17" customFormat="1" ht="15.75">
      <c r="A30" s="14" t="s">
        <v>30</v>
      </c>
      <c r="B30" s="35">
        <v>131</v>
      </c>
      <c r="C30" s="35">
        <v>8.3000000000000007</v>
      </c>
      <c r="D30" s="33">
        <f t="shared" si="0"/>
        <v>5.1584835301429468</v>
      </c>
      <c r="E30" s="14" t="s">
        <v>31</v>
      </c>
      <c r="F30" s="15"/>
      <c r="G30" s="26">
        <f t="shared" si="1"/>
        <v>9.3480000000000008</v>
      </c>
      <c r="H30" s="27">
        <f t="shared" si="2"/>
        <v>0.13256565885756424</v>
      </c>
      <c r="I30" s="28">
        <f t="shared" si="3"/>
        <v>-3.3703034879090453E-2</v>
      </c>
      <c r="J30" s="27">
        <f t="shared" si="4"/>
        <v>0.11715375446184434</v>
      </c>
      <c r="K30" s="29">
        <f t="shared" si="5"/>
        <v>1.4644219307730553</v>
      </c>
      <c r="L30" s="29">
        <f t="shared" si="7"/>
        <v>0</v>
      </c>
      <c r="M30" s="30">
        <f t="shared" si="8"/>
        <v>0.39435091378221027</v>
      </c>
      <c r="N30" s="30">
        <f t="shared" si="6"/>
        <v>0.39435091378221027</v>
      </c>
      <c r="O30" s="16"/>
      <c r="P30" s="16"/>
      <c r="Q30" s="9"/>
    </row>
    <row r="31" spans="1:17" s="17" customFormat="1" ht="15.75">
      <c r="A31" s="14" t="s">
        <v>32</v>
      </c>
      <c r="B31" s="35">
        <v>134</v>
      </c>
      <c r="C31" s="35">
        <v>9.4</v>
      </c>
      <c r="D31" s="33">
        <f t="shared" si="0"/>
        <v>5.8421379738968309</v>
      </c>
      <c r="E31" s="14" t="s">
        <v>33</v>
      </c>
      <c r="F31" s="15"/>
      <c r="G31" s="26">
        <f t="shared" si="1"/>
        <v>10.472000000000001</v>
      </c>
      <c r="H31" s="27">
        <f t="shared" si="2"/>
        <v>0.14850530376084861</v>
      </c>
      <c r="I31" s="28">
        <f t="shared" si="3"/>
        <v>-3.7833055373657415E-2</v>
      </c>
      <c r="J31" s="27">
        <f t="shared" si="4"/>
        <v>0.13150995142388897</v>
      </c>
      <c r="K31" s="29">
        <f t="shared" si="5"/>
        <v>1.6438743927986132</v>
      </c>
      <c r="L31" s="29">
        <f t="shared" si="7"/>
        <v>0</v>
      </c>
      <c r="M31" s="30">
        <f t="shared" si="8"/>
        <v>0.40182809969994188</v>
      </c>
      <c r="N31" s="30">
        <f t="shared" si="6"/>
        <v>0.40182809969994188</v>
      </c>
      <c r="O31" s="16"/>
      <c r="P31" s="16"/>
      <c r="Q31" s="9"/>
    </row>
    <row r="32" spans="1:17" s="17" customFormat="1" ht="15.75">
      <c r="A32" s="14" t="s">
        <v>34</v>
      </c>
      <c r="B32" s="35">
        <v>170</v>
      </c>
      <c r="C32" s="35">
        <v>10.7</v>
      </c>
      <c r="D32" s="33">
        <f t="shared" si="0"/>
        <v>6.6500932256059659</v>
      </c>
      <c r="E32" s="14" t="s">
        <v>35</v>
      </c>
      <c r="F32" s="15"/>
      <c r="G32" s="26">
        <f t="shared" si="1"/>
        <v>12.059999999999999</v>
      </c>
      <c r="H32" s="27">
        <f t="shared" si="2"/>
        <v>0.17102501559929659</v>
      </c>
      <c r="I32" s="28">
        <f t="shared" si="3"/>
        <v>-4.3697221839936337E-2</v>
      </c>
      <c r="J32" s="27">
        <f t="shared" si="4"/>
        <v>0.15189414295970957</v>
      </c>
      <c r="K32" s="29">
        <f t="shared" si="5"/>
        <v>1.898676786996371</v>
      </c>
      <c r="L32" s="29">
        <f t="shared" si="7"/>
        <v>0</v>
      </c>
      <c r="M32" s="30">
        <f t="shared" si="8"/>
        <v>0.41244486612484843</v>
      </c>
      <c r="N32" s="30">
        <f t="shared" si="6"/>
        <v>0.41244486612484843</v>
      </c>
      <c r="O32" s="16"/>
      <c r="P32" s="16"/>
      <c r="Q32" s="9"/>
    </row>
    <row r="33" spans="1:17" s="17" customFormat="1" ht="15.75">
      <c r="A33" s="14" t="s">
        <v>36</v>
      </c>
      <c r="B33" s="35">
        <v>170</v>
      </c>
      <c r="C33" s="35">
        <v>12.2</v>
      </c>
      <c r="D33" s="33">
        <f t="shared" si="0"/>
        <v>7.5823492852703538</v>
      </c>
      <c r="E33" s="14" t="s">
        <v>37</v>
      </c>
      <c r="F33" s="15"/>
      <c r="G33" s="26">
        <f t="shared" si="1"/>
        <v>13.559999999999999</v>
      </c>
      <c r="H33" s="27">
        <f t="shared" si="2"/>
        <v>0.19229678370866182</v>
      </c>
      <c r="I33" s="28">
        <f t="shared" si="3"/>
        <v>-4.9268184126292629E-2</v>
      </c>
      <c r="J33" s="27">
        <f t="shared" si="4"/>
        <v>0.17125913932141387</v>
      </c>
      <c r="K33" s="29">
        <f t="shared" si="5"/>
        <v>2.1407392415176751</v>
      </c>
      <c r="L33" s="29">
        <f t="shared" si="7"/>
        <v>0</v>
      </c>
      <c r="M33" s="30">
        <f t="shared" si="8"/>
        <v>0.42253080172990276</v>
      </c>
      <c r="N33" s="30">
        <f t="shared" si="6"/>
        <v>0.42253080172990276</v>
      </c>
      <c r="O33" s="16"/>
      <c r="P33" s="16"/>
      <c r="Q33" s="9"/>
    </row>
    <row r="34" spans="1:17" s="17" customFormat="1" ht="15.75">
      <c r="A34" s="14" t="s">
        <v>38</v>
      </c>
      <c r="B34" s="35">
        <v>170</v>
      </c>
      <c r="C34" s="35">
        <v>13.7</v>
      </c>
      <c r="D34" s="33">
        <f t="shared" si="0"/>
        <v>8.5146053449347416</v>
      </c>
      <c r="E34" s="14" t="s">
        <v>39</v>
      </c>
      <c r="F34" s="15"/>
      <c r="G34" s="26">
        <f t="shared" si="1"/>
        <v>15.059999999999999</v>
      </c>
      <c r="H34" s="27">
        <f t="shared" si="2"/>
        <v>0.21356855181802709</v>
      </c>
      <c r="I34" s="28">
        <f t="shared" si="3"/>
        <v>-5.4870355981948019E-2</v>
      </c>
      <c r="J34" s="27">
        <f t="shared" si="4"/>
        <v>0.19073262200287081</v>
      </c>
      <c r="K34" s="29">
        <f t="shared" si="5"/>
        <v>2.3841577750358867</v>
      </c>
      <c r="L34" s="29">
        <f t="shared" si="7"/>
        <v>0</v>
      </c>
      <c r="M34" s="30">
        <f t="shared" si="8"/>
        <v>0.43267324062649493</v>
      </c>
      <c r="N34" s="30">
        <f t="shared" si="6"/>
        <v>0.43267324062649493</v>
      </c>
      <c r="O34" s="16"/>
      <c r="P34" s="16"/>
      <c r="Q34" s="9"/>
    </row>
    <row r="35" spans="1:17" s="13" customFormat="1" ht="28.9" customHeight="1">
      <c r="A35" s="12" t="s">
        <v>40</v>
      </c>
      <c r="B35" s="34">
        <v>177</v>
      </c>
      <c r="C35" s="34">
        <v>14.9</v>
      </c>
      <c r="D35" s="32">
        <f t="shared" si="0"/>
        <v>9.260410192666253</v>
      </c>
      <c r="E35" s="12" t="s">
        <v>41</v>
      </c>
      <c r="F35" s="6">
        <v>5</v>
      </c>
      <c r="G35" s="22">
        <f t="shared" si="1"/>
        <v>16.315999999999999</v>
      </c>
      <c r="H35" s="23">
        <f t="shared" si="2"/>
        <v>0.23138011231493558</v>
      </c>
      <c r="I35" s="23">
        <f t="shared" si="3"/>
        <v>-5.9585504219828556E-2</v>
      </c>
      <c r="J35" s="23">
        <f t="shared" si="4"/>
        <v>0.20712275781389133</v>
      </c>
      <c r="K35" s="24">
        <f t="shared" si="5"/>
        <v>2.5890344726736436</v>
      </c>
      <c r="L35" s="24">
        <f t="shared" si="7"/>
        <v>8.3333333333333329E-2</v>
      </c>
      <c r="M35" s="25">
        <f t="shared" si="8"/>
        <v>0.4412097696947348</v>
      </c>
      <c r="N35" s="25">
        <f t="shared" si="6"/>
        <v>0.44468199191695701</v>
      </c>
      <c r="O35" s="36">
        <v>0.39583333333333298</v>
      </c>
      <c r="P35" s="36">
        <v>0.46875</v>
      </c>
      <c r="Q35" s="31" t="str">
        <f>IF(OR(M35&gt;P35,N35&lt;O35), "CLOSED", "ok")</f>
        <v>ok</v>
      </c>
    </row>
    <row r="36" spans="1:17" s="17" customFormat="1" ht="15.75">
      <c r="A36" s="14" t="s">
        <v>42</v>
      </c>
      <c r="B36" s="35">
        <v>282</v>
      </c>
      <c r="C36" s="35">
        <v>16.600000000000001</v>
      </c>
      <c r="D36" s="33">
        <f t="shared" si="0"/>
        <v>10.316967060285894</v>
      </c>
      <c r="E36" s="14" t="s">
        <v>43</v>
      </c>
      <c r="F36" s="15"/>
      <c r="G36" s="26">
        <f t="shared" si="1"/>
        <v>18.856000000000002</v>
      </c>
      <c r="H36" s="27">
        <f t="shared" si="2"/>
        <v>0.26740030631346079</v>
      </c>
      <c r="I36" s="28">
        <f t="shared" si="3"/>
        <v>-6.9189401417370122E-2</v>
      </c>
      <c r="J36" s="27">
        <f t="shared" si="4"/>
        <v>0.24050647587352572</v>
      </c>
      <c r="K36" s="29">
        <f t="shared" si="5"/>
        <v>3.0063309484190737</v>
      </c>
      <c r="L36" s="29">
        <f t="shared" si="7"/>
        <v>8.3333333333333329E-2</v>
      </c>
      <c r="M36" s="30">
        <f t="shared" si="8"/>
        <v>0.46206934507301661</v>
      </c>
      <c r="N36" s="30">
        <f t="shared" si="6"/>
        <v>0.46206934507301661</v>
      </c>
      <c r="O36" s="16"/>
      <c r="P36" s="16"/>
      <c r="Q36" s="9"/>
    </row>
    <row r="37" spans="1:17" s="17" customFormat="1" ht="15.75">
      <c r="A37" s="14" t="s">
        <v>44</v>
      </c>
      <c r="B37" s="35">
        <v>285</v>
      </c>
      <c r="C37" s="35">
        <v>17.399999999999999</v>
      </c>
      <c r="D37" s="33">
        <f t="shared" si="0"/>
        <v>10.814170292106898</v>
      </c>
      <c r="E37" s="14" t="s">
        <v>45</v>
      </c>
      <c r="F37" s="15"/>
      <c r="G37" s="26">
        <f t="shared" si="1"/>
        <v>19.68</v>
      </c>
      <c r="H37" s="27">
        <f t="shared" si="2"/>
        <v>0.27908559759487206</v>
      </c>
      <c r="I37" s="28">
        <f t="shared" si="3"/>
        <v>-7.2324915942297771E-2</v>
      </c>
      <c r="J37" s="27">
        <f t="shared" si="4"/>
        <v>0.25140571091519903</v>
      </c>
      <c r="K37" s="29">
        <f t="shared" si="5"/>
        <v>3.14257138643999</v>
      </c>
      <c r="L37" s="29">
        <f t="shared" si="7"/>
        <v>8.3333333333333329E-2</v>
      </c>
      <c r="M37" s="30">
        <f t="shared" si="8"/>
        <v>0.46774602999055481</v>
      </c>
      <c r="N37" s="30">
        <f t="shared" si="6"/>
        <v>0.46774602999055481</v>
      </c>
      <c r="O37" s="16"/>
      <c r="P37" s="16"/>
      <c r="Q37" s="9"/>
    </row>
    <row r="38" spans="1:17" s="17" customFormat="1" ht="15.75">
      <c r="A38" s="14" t="s">
        <v>46</v>
      </c>
      <c r="B38" s="35">
        <v>290</v>
      </c>
      <c r="C38" s="35">
        <v>18.100000000000001</v>
      </c>
      <c r="D38" s="33">
        <f t="shared" si="0"/>
        <v>11.249223119950281</v>
      </c>
      <c r="E38" s="14" t="s">
        <v>47</v>
      </c>
      <c r="F38" s="15"/>
      <c r="G38" s="26">
        <f t="shared" si="1"/>
        <v>20.420000000000002</v>
      </c>
      <c r="H38" s="27">
        <f t="shared" si="2"/>
        <v>0.28957966986215894</v>
      </c>
      <c r="I38" s="28">
        <f t="shared" si="3"/>
        <v>-7.5149194385003518E-2</v>
      </c>
      <c r="J38" s="27">
        <f t="shared" si="4"/>
        <v>0.26122307081752361</v>
      </c>
      <c r="K38" s="29">
        <f t="shared" si="5"/>
        <v>3.2652883852190473</v>
      </c>
      <c r="L38" s="29">
        <f t="shared" si="7"/>
        <v>8.3333333333333329E-2</v>
      </c>
      <c r="M38" s="30">
        <f t="shared" si="8"/>
        <v>0.47285923827301551</v>
      </c>
      <c r="N38" s="30">
        <f t="shared" si="6"/>
        <v>0.47285923827301551</v>
      </c>
      <c r="O38" s="16"/>
      <c r="P38" s="16"/>
      <c r="Q38" s="9"/>
    </row>
    <row r="39" spans="1:17" s="17" customFormat="1" ht="15.75">
      <c r="A39" s="14" t="s">
        <v>48</v>
      </c>
      <c r="B39" s="35">
        <v>330</v>
      </c>
      <c r="C39" s="35">
        <v>20.8</v>
      </c>
      <c r="D39" s="33">
        <f t="shared" si="0"/>
        <v>12.927284027346179</v>
      </c>
      <c r="E39" s="14" t="s">
        <v>137</v>
      </c>
      <c r="F39" s="15"/>
      <c r="G39" s="26">
        <f t="shared" si="1"/>
        <v>23.44</v>
      </c>
      <c r="H39" s="27">
        <f t="shared" si="2"/>
        <v>0.33240682965568097</v>
      </c>
      <c r="I39" s="28">
        <f t="shared" si="3"/>
        <v>-8.6758726087379071E-2</v>
      </c>
      <c r="J39" s="27">
        <f t="shared" si="4"/>
        <v>0.30157849374476026</v>
      </c>
      <c r="K39" s="29">
        <f t="shared" si="5"/>
        <v>3.7697311718095059</v>
      </c>
      <c r="L39" s="29">
        <f t="shared" si="7"/>
        <v>8.3333333333333329E-2</v>
      </c>
      <c r="M39" s="30">
        <f t="shared" si="8"/>
        <v>0.49387768771428464</v>
      </c>
      <c r="N39" s="30">
        <f t="shared" si="6"/>
        <v>0.49387768771428464</v>
      </c>
      <c r="O39" s="16"/>
      <c r="P39" s="16"/>
      <c r="Q39" s="9"/>
    </row>
    <row r="40" spans="1:17" s="17" customFormat="1" ht="15.75">
      <c r="A40" s="14" t="s">
        <v>49</v>
      </c>
      <c r="B40" s="35">
        <v>330</v>
      </c>
      <c r="C40" s="35">
        <v>21.9</v>
      </c>
      <c r="D40" s="33">
        <f t="shared" si="0"/>
        <v>13.610938471100061</v>
      </c>
      <c r="E40" s="14" t="s">
        <v>50</v>
      </c>
      <c r="F40" s="15"/>
      <c r="G40" s="26">
        <f t="shared" si="1"/>
        <v>24.54</v>
      </c>
      <c r="H40" s="27">
        <f t="shared" si="2"/>
        <v>0.34800612626921545</v>
      </c>
      <c r="I40" s="28">
        <f t="shared" si="3"/>
        <v>-9.1021075899313658E-2</v>
      </c>
      <c r="J40" s="27">
        <f t="shared" si="4"/>
        <v>0.31639467528714332</v>
      </c>
      <c r="K40" s="29">
        <f t="shared" si="5"/>
        <v>3.9549334410892945</v>
      </c>
      <c r="L40" s="29">
        <f t="shared" si="7"/>
        <v>8.3333333333333329E-2</v>
      </c>
      <c r="M40" s="30">
        <f t="shared" si="8"/>
        <v>0.50159444893427585</v>
      </c>
      <c r="N40" s="30">
        <f t="shared" si="6"/>
        <v>0.50159444893427585</v>
      </c>
      <c r="O40" s="16"/>
      <c r="P40" s="16"/>
      <c r="Q40" s="9"/>
    </row>
    <row r="41" spans="1:17" s="13" customFormat="1" ht="28.9" customHeight="1">
      <c r="A41" s="12" t="s">
        <v>51</v>
      </c>
      <c r="B41" s="34">
        <v>351</v>
      </c>
      <c r="C41" s="34">
        <v>22.9</v>
      </c>
      <c r="D41" s="32">
        <f t="shared" si="0"/>
        <v>14.23244251087632</v>
      </c>
      <c r="E41" s="12" t="s">
        <v>52</v>
      </c>
      <c r="F41" s="6">
        <v>10</v>
      </c>
      <c r="G41" s="22">
        <f t="shared" si="1"/>
        <v>25.707999999999998</v>
      </c>
      <c r="H41" s="23">
        <f t="shared" si="2"/>
        <v>0.36456974303704121</v>
      </c>
      <c r="I41" s="23">
        <f t="shared" si="3"/>
        <v>-9.5566892087289856E-2</v>
      </c>
      <c r="J41" s="23">
        <f t="shared" si="4"/>
        <v>0.33219620281798429</v>
      </c>
      <c r="K41" s="24">
        <f t="shared" si="5"/>
        <v>4.152452535224807</v>
      </c>
      <c r="L41" s="24">
        <f t="shared" si="7"/>
        <v>0.25</v>
      </c>
      <c r="M41" s="25">
        <f t="shared" si="8"/>
        <v>0.50982441118992217</v>
      </c>
      <c r="N41" s="25">
        <f t="shared" si="6"/>
        <v>0.51676885563436659</v>
      </c>
      <c r="O41" s="36">
        <v>0.41666666666666702</v>
      </c>
      <c r="P41" s="36">
        <v>0.54166666666666696</v>
      </c>
      <c r="Q41" s="31" t="str">
        <f>IF(OR(M41&gt;P41,N41&lt;O41), "CLOSED", "ok")</f>
        <v>ok</v>
      </c>
    </row>
    <row r="42" spans="1:17" s="17" customFormat="1" ht="15.75">
      <c r="A42" s="14" t="s">
        <v>53</v>
      </c>
      <c r="B42" s="35">
        <v>385</v>
      </c>
      <c r="C42" s="35">
        <v>24.7</v>
      </c>
      <c r="D42" s="33">
        <f t="shared" si="0"/>
        <v>15.351149782473586</v>
      </c>
      <c r="E42" s="14" t="s">
        <v>54</v>
      </c>
      <c r="F42" s="15"/>
      <c r="G42" s="26">
        <f t="shared" si="1"/>
        <v>27.78</v>
      </c>
      <c r="H42" s="27">
        <f t="shared" si="2"/>
        <v>0.3939531453854444</v>
      </c>
      <c r="I42" s="28">
        <f t="shared" si="3"/>
        <v>-0.10368224290832825</v>
      </c>
      <c r="J42" s="27">
        <f t="shared" si="4"/>
        <v>0.36040564510917411</v>
      </c>
      <c r="K42" s="29">
        <f t="shared" si="5"/>
        <v>4.5050705638646793</v>
      </c>
      <c r="L42" s="29">
        <f t="shared" si="7"/>
        <v>0.25</v>
      </c>
      <c r="M42" s="30">
        <f t="shared" si="8"/>
        <v>0.53146127349436134</v>
      </c>
      <c r="N42" s="30">
        <f t="shared" si="6"/>
        <v>0.53146127349436134</v>
      </c>
      <c r="O42" s="16"/>
      <c r="P42" s="16"/>
      <c r="Q42" s="9"/>
    </row>
    <row r="43" spans="1:17" s="17" customFormat="1" ht="15.75">
      <c r="A43" s="14" t="s">
        <v>55</v>
      </c>
      <c r="B43" s="35">
        <v>385</v>
      </c>
      <c r="C43" s="35">
        <v>25.3</v>
      </c>
      <c r="D43" s="33">
        <f t="shared" si="0"/>
        <v>15.724052206339342</v>
      </c>
      <c r="E43" s="14" t="s">
        <v>56</v>
      </c>
      <c r="F43" s="15"/>
      <c r="G43" s="26">
        <f t="shared" si="1"/>
        <v>28.380000000000003</v>
      </c>
      <c r="H43" s="27">
        <f t="shared" si="2"/>
        <v>0.40246185262919054</v>
      </c>
      <c r="I43" s="28">
        <f t="shared" si="3"/>
        <v>-0.10604459754104509</v>
      </c>
      <c r="J43" s="27">
        <f t="shared" si="4"/>
        <v>0.36861733036499689</v>
      </c>
      <c r="K43" s="29">
        <f t="shared" si="5"/>
        <v>4.6077166295624643</v>
      </c>
      <c r="L43" s="29">
        <f t="shared" si="7"/>
        <v>0.25</v>
      </c>
      <c r="M43" s="30">
        <f t="shared" si="8"/>
        <v>0.53573819289843572</v>
      </c>
      <c r="N43" s="30">
        <f t="shared" si="6"/>
        <v>0.53573819289843572</v>
      </c>
      <c r="O43" s="16"/>
      <c r="P43" s="16"/>
      <c r="Q43" s="9"/>
    </row>
    <row r="44" spans="1:17" s="17" customFormat="1" ht="15.75">
      <c r="A44" s="14" t="s">
        <v>57</v>
      </c>
      <c r="B44" s="35">
        <v>406</v>
      </c>
      <c r="C44" s="35">
        <v>26.7</v>
      </c>
      <c r="D44" s="33">
        <f t="shared" si="0"/>
        <v>16.594157862026101</v>
      </c>
      <c r="E44" s="14" t="s">
        <v>58</v>
      </c>
      <c r="F44" s="15"/>
      <c r="G44" s="26">
        <f t="shared" si="1"/>
        <v>29.948</v>
      </c>
      <c r="H44" s="27">
        <f t="shared" si="2"/>
        <v>0.42469794089284701</v>
      </c>
      <c r="I44" s="28">
        <f t="shared" si="3"/>
        <v>-0.11224469648522771</v>
      </c>
      <c r="J44" s="27">
        <f t="shared" si="4"/>
        <v>0.39016924318091223</v>
      </c>
      <c r="K44" s="29">
        <f t="shared" si="5"/>
        <v>4.8771155397614061</v>
      </c>
      <c r="L44" s="29">
        <f t="shared" si="7"/>
        <v>0.25</v>
      </c>
      <c r="M44" s="30">
        <f t="shared" si="8"/>
        <v>0.54696314749005825</v>
      </c>
      <c r="N44" s="30">
        <f t="shared" si="6"/>
        <v>0.54696314749005825</v>
      </c>
      <c r="O44" s="16"/>
      <c r="P44" s="16"/>
      <c r="Q44" s="9"/>
    </row>
    <row r="45" spans="1:17" s="17" customFormat="1" ht="15.75">
      <c r="A45" s="14" t="s">
        <v>59</v>
      </c>
      <c r="B45" s="35">
        <v>409</v>
      </c>
      <c r="C45" s="35">
        <v>27.9</v>
      </c>
      <c r="D45" s="33">
        <f t="shared" si="0"/>
        <v>17.339962709757614</v>
      </c>
      <c r="E45" s="14" t="s">
        <v>60</v>
      </c>
      <c r="F45" s="15"/>
      <c r="G45" s="26">
        <f t="shared" si="1"/>
        <v>31.171999999999997</v>
      </c>
      <c r="H45" s="27">
        <f t="shared" si="2"/>
        <v>0.44205570367008901</v>
      </c>
      <c r="I45" s="28">
        <f t="shared" si="3"/>
        <v>-0.11711142789258761</v>
      </c>
      <c r="J45" s="27">
        <f t="shared" si="4"/>
        <v>0.40708629110775379</v>
      </c>
      <c r="K45" s="29">
        <f t="shared" si="5"/>
        <v>5.0885786388469256</v>
      </c>
      <c r="L45" s="29">
        <f t="shared" si="7"/>
        <v>0.25</v>
      </c>
      <c r="M45" s="30">
        <f t="shared" si="8"/>
        <v>0.55577410995195486</v>
      </c>
      <c r="N45" s="30">
        <f t="shared" si="6"/>
        <v>0.55577410995195486</v>
      </c>
      <c r="O45" s="16"/>
      <c r="P45" s="16"/>
      <c r="Q45" s="9"/>
    </row>
    <row r="46" spans="1:17" s="17" customFormat="1" ht="15.75">
      <c r="A46" s="14" t="s">
        <v>61</v>
      </c>
      <c r="B46" s="35">
        <v>416</v>
      </c>
      <c r="C46" s="35">
        <v>28.9</v>
      </c>
      <c r="D46" s="33">
        <f t="shared" si="0"/>
        <v>17.961466749533873</v>
      </c>
      <c r="E46" s="14" t="s">
        <v>62</v>
      </c>
      <c r="F46" s="15"/>
      <c r="G46" s="26">
        <f t="shared" si="1"/>
        <v>32.228000000000002</v>
      </c>
      <c r="H46" s="27">
        <f t="shared" si="2"/>
        <v>0.45703102841908216</v>
      </c>
      <c r="I46" s="28">
        <f t="shared" si="3"/>
        <v>-0.12132929294328755</v>
      </c>
      <c r="J46" s="27">
        <f t="shared" si="4"/>
        <v>0.42174784097338514</v>
      </c>
      <c r="K46" s="29">
        <f t="shared" si="5"/>
        <v>5.2718480121673181</v>
      </c>
      <c r="L46" s="29">
        <f t="shared" si="7"/>
        <v>0.25</v>
      </c>
      <c r="M46" s="30">
        <f t="shared" si="8"/>
        <v>0.56341033384030459</v>
      </c>
      <c r="N46" s="30">
        <f t="shared" si="6"/>
        <v>0.56341033384030459</v>
      </c>
      <c r="O46" s="16"/>
      <c r="P46" s="16"/>
      <c r="Q46" s="9"/>
    </row>
    <row r="47" spans="1:17" s="17" customFormat="1" ht="15.75">
      <c r="A47" s="14" t="s">
        <v>63</v>
      </c>
      <c r="B47" s="35">
        <v>421</v>
      </c>
      <c r="C47" s="35">
        <v>29.7</v>
      </c>
      <c r="D47" s="33">
        <f t="shared" si="0"/>
        <v>18.458669981354877</v>
      </c>
      <c r="E47" s="14" t="s">
        <v>64</v>
      </c>
      <c r="F47" s="15"/>
      <c r="G47" s="26">
        <f t="shared" si="1"/>
        <v>33.067999999999998</v>
      </c>
      <c r="H47" s="27">
        <f t="shared" si="2"/>
        <v>0.46894321856032667</v>
      </c>
      <c r="I47" s="28">
        <f t="shared" si="3"/>
        <v>-0.12469716346473962</v>
      </c>
      <c r="J47" s="27">
        <f t="shared" si="4"/>
        <v>0.43345475928341143</v>
      </c>
      <c r="K47" s="29">
        <f t="shared" si="5"/>
        <v>5.4181844910426467</v>
      </c>
      <c r="L47" s="29">
        <f t="shared" si="7"/>
        <v>0.25</v>
      </c>
      <c r="M47" s="30">
        <f t="shared" si="8"/>
        <v>0.56950768712677657</v>
      </c>
      <c r="N47" s="30">
        <f t="shared" si="6"/>
        <v>0.56950768712677657</v>
      </c>
      <c r="O47" s="16"/>
      <c r="P47" s="16"/>
      <c r="Q47" s="9"/>
    </row>
    <row r="48" spans="1:17" s="13" customFormat="1" ht="28.9" customHeight="1">
      <c r="A48" s="12" t="s">
        <v>65</v>
      </c>
      <c r="B48" s="34">
        <v>436</v>
      </c>
      <c r="C48" s="34">
        <v>30.7</v>
      </c>
      <c r="D48" s="32">
        <f t="shared" si="0"/>
        <v>19.080174021131135</v>
      </c>
      <c r="E48" s="12" t="s">
        <v>66</v>
      </c>
      <c r="F48" s="6">
        <v>5</v>
      </c>
      <c r="G48" s="22">
        <f t="shared" si="1"/>
        <v>34.188000000000002</v>
      </c>
      <c r="H48" s="23">
        <f t="shared" si="2"/>
        <v>0.48482613874865277</v>
      </c>
      <c r="I48" s="23">
        <f t="shared" si="3"/>
        <v>-0.12920537442008764</v>
      </c>
      <c r="J48" s="23">
        <f t="shared" si="4"/>
        <v>0.4491255687882465</v>
      </c>
      <c r="K48" s="24">
        <f t="shared" si="5"/>
        <v>5.6140696098530851</v>
      </c>
      <c r="L48" s="24">
        <f t="shared" si="7"/>
        <v>0.33333333333333331</v>
      </c>
      <c r="M48" s="25">
        <f t="shared" si="8"/>
        <v>0.57766956707721151</v>
      </c>
      <c r="N48" s="25">
        <f t="shared" si="6"/>
        <v>0.58114178929943372</v>
      </c>
      <c r="O48" s="36">
        <v>0.45833333333333298</v>
      </c>
      <c r="P48" s="36">
        <v>0.61458333333333304</v>
      </c>
      <c r="Q48" s="31" t="str">
        <f>IF(OR(M48&gt;P48,N48&lt;O48), "CLOSED", "ok")</f>
        <v>ok</v>
      </c>
    </row>
    <row r="49" spans="1:17" s="17" customFormat="1" ht="15.75">
      <c r="A49" s="14" t="s">
        <v>67</v>
      </c>
      <c r="B49" s="35">
        <v>481</v>
      </c>
      <c r="C49" s="35">
        <v>31.4</v>
      </c>
      <c r="D49" s="33">
        <f t="shared" si="0"/>
        <v>19.515226848974518</v>
      </c>
      <c r="E49" s="14" t="s">
        <v>68</v>
      </c>
      <c r="F49" s="15"/>
      <c r="G49" s="26">
        <f t="shared" si="1"/>
        <v>35.247999999999998</v>
      </c>
      <c r="H49" s="27">
        <f t="shared" si="2"/>
        <v>0.49985818821260414</v>
      </c>
      <c r="I49" s="28">
        <f t="shared" si="3"/>
        <v>-0.13349087579179894</v>
      </c>
      <c r="J49" s="27">
        <f t="shared" si="4"/>
        <v>0.46402222652985675</v>
      </c>
      <c r="K49" s="29">
        <f t="shared" si="5"/>
        <v>5.8002778316232133</v>
      </c>
      <c r="L49" s="29">
        <f t="shared" si="7"/>
        <v>0.33333333333333331</v>
      </c>
      <c r="M49" s="30">
        <f t="shared" si="8"/>
        <v>0.58890046520652239</v>
      </c>
      <c r="N49" s="30">
        <f t="shared" si="6"/>
        <v>0.58890046520652239</v>
      </c>
      <c r="O49" s="16"/>
      <c r="P49" s="16"/>
      <c r="Q49" s="9"/>
    </row>
    <row r="50" spans="1:17" s="17" customFormat="1" ht="15.75">
      <c r="A50" s="14" t="s">
        <v>69</v>
      </c>
      <c r="B50" s="35">
        <v>481</v>
      </c>
      <c r="C50" s="35">
        <v>32.1</v>
      </c>
      <c r="D50" s="33">
        <f t="shared" si="0"/>
        <v>19.9502796768179</v>
      </c>
      <c r="E50" s="14" t="s">
        <v>70</v>
      </c>
      <c r="F50" s="15"/>
      <c r="G50" s="26">
        <f t="shared" si="1"/>
        <v>35.948</v>
      </c>
      <c r="H50" s="27">
        <f t="shared" si="2"/>
        <v>0.50978501333030801</v>
      </c>
      <c r="I50" s="28">
        <f t="shared" si="3"/>
        <v>-0.13633102603784927</v>
      </c>
      <c r="J50" s="27">
        <f t="shared" si="4"/>
        <v>0.47389475776492834</v>
      </c>
      <c r="K50" s="29">
        <f t="shared" si="5"/>
        <v>5.9236844720616082</v>
      </c>
      <c r="L50" s="29">
        <f t="shared" si="7"/>
        <v>0.33333333333333331</v>
      </c>
      <c r="M50" s="30">
        <f t="shared" si="8"/>
        <v>0.59404240855812218</v>
      </c>
      <c r="N50" s="30">
        <f t="shared" si="6"/>
        <v>0.59404240855812218</v>
      </c>
      <c r="O50" s="16"/>
      <c r="P50" s="16"/>
      <c r="Q50" s="9"/>
    </row>
    <row r="51" spans="1:17" s="17" customFormat="1" ht="15.75">
      <c r="A51" s="14" t="s">
        <v>71</v>
      </c>
      <c r="B51" s="35">
        <v>483</v>
      </c>
      <c r="C51" s="35">
        <v>33.700000000000003</v>
      </c>
      <c r="D51" s="33">
        <f t="shared" si="0"/>
        <v>20.944686140459915</v>
      </c>
      <c r="E51" s="14" t="s">
        <v>72</v>
      </c>
      <c r="F51" s="15"/>
      <c r="G51" s="26">
        <f t="shared" si="1"/>
        <v>37.564</v>
      </c>
      <c r="H51" s="27">
        <f t="shared" si="2"/>
        <v>0.53270179817346419</v>
      </c>
      <c r="I51" s="28">
        <f t="shared" si="3"/>
        <v>-0.14291868662846086</v>
      </c>
      <c r="J51" s="27">
        <f t="shared" si="4"/>
        <v>0.49679385792250164</v>
      </c>
      <c r="K51" s="29">
        <f t="shared" si="5"/>
        <v>6.2099232240312752</v>
      </c>
      <c r="L51" s="29">
        <f t="shared" si="7"/>
        <v>0.33333333333333331</v>
      </c>
      <c r="M51" s="30">
        <f t="shared" si="8"/>
        <v>0.60596902322352497</v>
      </c>
      <c r="N51" s="30">
        <f t="shared" si="6"/>
        <v>0.60596902322352497</v>
      </c>
      <c r="O51" s="16"/>
      <c r="P51" s="16"/>
      <c r="Q51" s="9"/>
    </row>
    <row r="52" spans="1:17" s="17" customFormat="1" ht="15.75">
      <c r="A52" s="14" t="s">
        <v>73</v>
      </c>
      <c r="B52" s="35">
        <v>505</v>
      </c>
      <c r="C52" s="35">
        <v>34.6</v>
      </c>
      <c r="D52" s="33">
        <f t="shared" si="0"/>
        <v>21.504039776258548</v>
      </c>
      <c r="E52" s="14" t="s">
        <v>74</v>
      </c>
      <c r="F52" s="15"/>
      <c r="G52" s="26">
        <f t="shared" si="1"/>
        <v>38.64</v>
      </c>
      <c r="H52" s="27">
        <f t="shared" si="2"/>
        <v>0.5479607464972488</v>
      </c>
      <c r="I52" s="28">
        <f t="shared" si="3"/>
        <v>-0.14732921672849689</v>
      </c>
      <c r="J52" s="27">
        <f t="shared" si="4"/>
        <v>0.51212512296257562</v>
      </c>
      <c r="K52" s="29">
        <f t="shared" si="5"/>
        <v>6.4015640370322</v>
      </c>
      <c r="L52" s="29">
        <f t="shared" si="7"/>
        <v>0.33333333333333331</v>
      </c>
      <c r="M52" s="30">
        <f t="shared" si="8"/>
        <v>0.61395405709856354</v>
      </c>
      <c r="N52" s="30">
        <f t="shared" si="6"/>
        <v>0.61395405709856354</v>
      </c>
      <c r="O52" s="16"/>
      <c r="P52" s="16"/>
      <c r="Q52" s="9"/>
    </row>
    <row r="53" spans="1:17" s="13" customFormat="1" ht="28.9" customHeight="1">
      <c r="A53" s="12" t="s">
        <v>75</v>
      </c>
      <c r="B53" s="34">
        <v>543</v>
      </c>
      <c r="C53" s="34">
        <v>35.9</v>
      </c>
      <c r="D53" s="32">
        <f t="shared" si="0"/>
        <v>22.311995027967683</v>
      </c>
      <c r="E53" s="12" t="s">
        <v>76</v>
      </c>
      <c r="F53" s="6">
        <v>5</v>
      </c>
      <c r="G53" s="22">
        <f t="shared" si="1"/>
        <v>40.244</v>
      </c>
      <c r="H53" s="23">
        <f t="shared" si="2"/>
        <v>0.57070735719553001</v>
      </c>
      <c r="I53" s="23">
        <f t="shared" si="3"/>
        <v>-0.15394034779728691</v>
      </c>
      <c r="J53" s="23">
        <f t="shared" si="4"/>
        <v>0.53510580789871509</v>
      </c>
      <c r="K53" s="24">
        <f t="shared" si="5"/>
        <v>6.6888225987339434</v>
      </c>
      <c r="L53" s="24">
        <f t="shared" si="7"/>
        <v>0.41666666666666663</v>
      </c>
      <c r="M53" s="25">
        <f t="shared" si="8"/>
        <v>0.62592316383613622</v>
      </c>
      <c r="N53" s="25">
        <f t="shared" si="6"/>
        <v>0.62939538605835843</v>
      </c>
      <c r="O53" s="36">
        <v>0.45833333333333298</v>
      </c>
      <c r="P53" s="36">
        <v>0.66666666666666696</v>
      </c>
      <c r="Q53" s="31" t="str">
        <f>IF(OR(M53&gt;P53,N53&lt;O53), "CLOSED", "ok")</f>
        <v>ok</v>
      </c>
    </row>
    <row r="54" spans="1:17" s="17" customFormat="1" ht="15.75">
      <c r="A54" s="14" t="s">
        <v>77</v>
      </c>
      <c r="B54" s="35">
        <v>543</v>
      </c>
      <c r="C54" s="35">
        <v>36.700000000000003</v>
      </c>
      <c r="D54" s="33">
        <f t="shared" ref="D54:D75" si="9">C54/1.609</f>
        <v>22.80919825978869</v>
      </c>
      <c r="E54" s="14" t="s">
        <v>78</v>
      </c>
      <c r="F54" s="15"/>
      <c r="G54" s="26">
        <f t="shared" ref="G54:G75" si="10">C54+B54*$A$10/1000</f>
        <v>41.044000000000004</v>
      </c>
      <c r="H54" s="27">
        <f t="shared" ref="H54:H75" si="11">G54/G$75</f>
        <v>0.58205230018719156</v>
      </c>
      <c r="I54" s="28">
        <f t="shared" ref="I54:I75" si="12">IF($A$8=0,H54,LN(1-$A$8*H54/H$75/100))</f>
        <v>-0.15725407794414176</v>
      </c>
      <c r="J54" s="27">
        <f t="shared" ref="J54:J75" si="13">I54/I$75</f>
        <v>0.54662453104546338</v>
      </c>
      <c r="K54" s="29">
        <f t="shared" ref="K54:K75" si="14">$A$13*J54</f>
        <v>6.8328066380682975</v>
      </c>
      <c r="L54" s="29">
        <f t="shared" si="7"/>
        <v>0.41666666666666663</v>
      </c>
      <c r="M54" s="30">
        <f t="shared" si="8"/>
        <v>0.63539472103062322</v>
      </c>
      <c r="N54" s="30">
        <f t="shared" ref="N54:N74" si="15">$A$6+(K54+L54)/24</f>
        <v>0.63539472103062322</v>
      </c>
      <c r="O54" s="16"/>
      <c r="P54" s="16"/>
      <c r="Q54" s="9"/>
    </row>
    <row r="55" spans="1:17" s="17" customFormat="1" ht="15.75">
      <c r="A55" s="14" t="s">
        <v>79</v>
      </c>
      <c r="B55" s="35">
        <v>573</v>
      </c>
      <c r="C55" s="35">
        <v>39.1</v>
      </c>
      <c r="D55" s="33">
        <f t="shared" si="9"/>
        <v>24.30080795525171</v>
      </c>
      <c r="E55" s="14" t="s">
        <v>80</v>
      </c>
      <c r="F55" s="15"/>
      <c r="G55" s="26">
        <f t="shared" si="10"/>
        <v>43.683999999999997</v>
      </c>
      <c r="H55" s="27">
        <f t="shared" si="11"/>
        <v>0.61949061205967437</v>
      </c>
      <c r="I55" s="28">
        <f t="shared" si="12"/>
        <v>-0.168267956488825</v>
      </c>
      <c r="J55" s="27">
        <f t="shared" si="13"/>
        <v>0.58490942815711544</v>
      </c>
      <c r="K55" s="29">
        <f t="shared" si="14"/>
        <v>7.311367851963948</v>
      </c>
      <c r="L55" s="29">
        <f t="shared" ref="L55:L75" si="16">L54+F55/60</f>
        <v>0.41666666666666663</v>
      </c>
      <c r="M55" s="30">
        <f t="shared" ref="M55:M75" si="17">$A$6+(K55+L54)/24</f>
        <v>0.65533477160960862</v>
      </c>
      <c r="N55" s="30">
        <f t="shared" si="15"/>
        <v>0.65533477160960862</v>
      </c>
      <c r="O55" s="16"/>
      <c r="P55" s="16"/>
      <c r="Q55" s="9"/>
    </row>
    <row r="56" spans="1:17" s="17" customFormat="1" ht="15.75">
      <c r="A56" s="14" t="s">
        <v>81</v>
      </c>
      <c r="B56" s="35">
        <v>573</v>
      </c>
      <c r="C56" s="35">
        <v>39.799999999999997</v>
      </c>
      <c r="D56" s="33">
        <f t="shared" si="9"/>
        <v>24.735860783095088</v>
      </c>
      <c r="E56" s="14" t="s">
        <v>82</v>
      </c>
      <c r="F56" s="15"/>
      <c r="G56" s="26">
        <f t="shared" si="10"/>
        <v>44.384</v>
      </c>
      <c r="H56" s="27">
        <f t="shared" si="11"/>
        <v>0.62941743717737819</v>
      </c>
      <c r="I56" s="28">
        <f t="shared" si="12"/>
        <v>-0.17120876438903532</v>
      </c>
      <c r="J56" s="27">
        <f t="shared" si="13"/>
        <v>0.59513185138685354</v>
      </c>
      <c r="K56" s="29">
        <f t="shared" si="14"/>
        <v>7.4391481423356742</v>
      </c>
      <c r="L56" s="29">
        <f t="shared" si="16"/>
        <v>0.41666666666666663</v>
      </c>
      <c r="M56" s="30">
        <f t="shared" si="17"/>
        <v>0.66065895037509725</v>
      </c>
      <c r="N56" s="30">
        <f t="shared" si="15"/>
        <v>0.66065895037509725</v>
      </c>
      <c r="O56" s="16"/>
      <c r="P56" s="16"/>
      <c r="Q56" s="9"/>
    </row>
    <row r="57" spans="1:17" s="17" customFormat="1" ht="15.75">
      <c r="A57" s="14" t="s">
        <v>83</v>
      </c>
      <c r="B57" s="35">
        <v>573</v>
      </c>
      <c r="C57" s="35">
        <v>40.4</v>
      </c>
      <c r="D57" s="33">
        <f t="shared" si="9"/>
        <v>25.108763206960845</v>
      </c>
      <c r="E57" s="14" t="s">
        <v>84</v>
      </c>
      <c r="F57" s="15"/>
      <c r="G57" s="26">
        <f t="shared" si="10"/>
        <v>44.983999999999995</v>
      </c>
      <c r="H57" s="27">
        <f t="shared" si="11"/>
        <v>0.63792614442112416</v>
      </c>
      <c r="I57" s="28">
        <f t="shared" si="12"/>
        <v>-0.17373635862375014</v>
      </c>
      <c r="J57" s="27">
        <f t="shared" si="13"/>
        <v>0.60391791933044603</v>
      </c>
      <c r="K57" s="29">
        <f t="shared" si="14"/>
        <v>7.5489739916305805</v>
      </c>
      <c r="L57" s="29">
        <f t="shared" si="16"/>
        <v>0.41666666666666663</v>
      </c>
      <c r="M57" s="30">
        <f t="shared" si="17"/>
        <v>0.66523502742905161</v>
      </c>
      <c r="N57" s="30">
        <f t="shared" si="15"/>
        <v>0.66523502742905161</v>
      </c>
      <c r="O57" s="16"/>
      <c r="P57" s="16"/>
      <c r="Q57" s="9"/>
    </row>
    <row r="58" spans="1:17" s="17" customFormat="1" ht="15.75">
      <c r="A58" s="14" t="s">
        <v>85</v>
      </c>
      <c r="B58" s="35">
        <v>588</v>
      </c>
      <c r="C58" s="35">
        <v>41.5</v>
      </c>
      <c r="D58" s="33">
        <f t="shared" si="9"/>
        <v>25.792417650714729</v>
      </c>
      <c r="E58" s="14" t="s">
        <v>86</v>
      </c>
      <c r="F58" s="15"/>
      <c r="G58" s="26">
        <f t="shared" si="10"/>
        <v>46.204000000000001</v>
      </c>
      <c r="H58" s="27">
        <f t="shared" si="11"/>
        <v>0.65522718248340794</v>
      </c>
      <c r="I58" s="28">
        <f t="shared" si="12"/>
        <v>-0.17889558688156362</v>
      </c>
      <c r="J58" s="27">
        <f t="shared" si="13"/>
        <v>0.62185170371208565</v>
      </c>
      <c r="K58" s="29">
        <f t="shared" si="14"/>
        <v>7.7731462964010758</v>
      </c>
      <c r="L58" s="29">
        <f t="shared" si="16"/>
        <v>0.41666666666666663</v>
      </c>
      <c r="M58" s="30">
        <f t="shared" si="17"/>
        <v>0.67457554012782228</v>
      </c>
      <c r="N58" s="30">
        <f t="shared" si="15"/>
        <v>0.67457554012782228</v>
      </c>
      <c r="O58" s="16"/>
      <c r="P58" s="16"/>
      <c r="Q58" s="9"/>
    </row>
    <row r="59" spans="1:17" s="17" customFormat="1" ht="15.75">
      <c r="A59" s="14" t="s">
        <v>87</v>
      </c>
      <c r="B59" s="35">
        <v>602</v>
      </c>
      <c r="C59" s="35">
        <v>42.8</v>
      </c>
      <c r="D59" s="33">
        <f t="shared" si="9"/>
        <v>26.600372902423864</v>
      </c>
      <c r="E59" s="14" t="s">
        <v>88</v>
      </c>
      <c r="F59" s="15"/>
      <c r="G59" s="26">
        <f t="shared" si="10"/>
        <v>47.616</v>
      </c>
      <c r="H59" s="27">
        <f t="shared" si="11"/>
        <v>0.67525100686369044</v>
      </c>
      <c r="I59" s="28">
        <f t="shared" si="12"/>
        <v>-0.18490018064771824</v>
      </c>
      <c r="J59" s="27">
        <f t="shared" si="13"/>
        <v>0.64272402889724667</v>
      </c>
      <c r="K59" s="29">
        <f t="shared" si="14"/>
        <v>8.0340503612155896</v>
      </c>
      <c r="L59" s="29">
        <f t="shared" si="16"/>
        <v>0.41666666666666663</v>
      </c>
      <c r="M59" s="30">
        <f t="shared" si="17"/>
        <v>0.68544654282842699</v>
      </c>
      <c r="N59" s="30">
        <f t="shared" si="15"/>
        <v>0.68544654282842699</v>
      </c>
      <c r="O59" s="16"/>
      <c r="P59" s="16"/>
      <c r="Q59" s="9"/>
    </row>
    <row r="60" spans="1:17" s="17" customFormat="1" ht="15.75">
      <c r="A60" s="14" t="s">
        <v>89</v>
      </c>
      <c r="B60" s="35">
        <v>609</v>
      </c>
      <c r="C60" s="35">
        <v>43.3</v>
      </c>
      <c r="D60" s="33">
        <f t="shared" si="9"/>
        <v>26.911124922311995</v>
      </c>
      <c r="E60" s="14" t="s">
        <v>90</v>
      </c>
      <c r="F60" s="15"/>
      <c r="G60" s="26">
        <f t="shared" si="10"/>
        <v>48.171999999999997</v>
      </c>
      <c r="H60" s="27">
        <f t="shared" si="11"/>
        <v>0.68313574224289508</v>
      </c>
      <c r="I60" s="28">
        <f t="shared" si="12"/>
        <v>-0.18727452518888366</v>
      </c>
      <c r="J60" s="27">
        <f t="shared" si="13"/>
        <v>0.65097739178819769</v>
      </c>
      <c r="K60" s="29">
        <f t="shared" si="14"/>
        <v>8.1372173973524777</v>
      </c>
      <c r="L60" s="29">
        <f t="shared" si="16"/>
        <v>0.41666666666666663</v>
      </c>
      <c r="M60" s="30">
        <f t="shared" si="17"/>
        <v>0.68974516933413066</v>
      </c>
      <c r="N60" s="30">
        <f t="shared" si="15"/>
        <v>0.68974516933413066</v>
      </c>
      <c r="O60" s="16"/>
      <c r="P60" s="16"/>
      <c r="Q60" s="9"/>
    </row>
    <row r="61" spans="1:17" s="13" customFormat="1" ht="28.9" customHeight="1">
      <c r="A61" s="12" t="s">
        <v>91</v>
      </c>
      <c r="B61" s="34">
        <v>623</v>
      </c>
      <c r="C61" s="34">
        <v>44.2</v>
      </c>
      <c r="D61" s="32">
        <f t="shared" si="9"/>
        <v>27.470478558110631</v>
      </c>
      <c r="E61" s="12" t="s">
        <v>92</v>
      </c>
      <c r="F61" s="6">
        <v>10</v>
      </c>
      <c r="G61" s="22">
        <f t="shared" si="10"/>
        <v>49.184000000000005</v>
      </c>
      <c r="H61" s="23">
        <f t="shared" si="11"/>
        <v>0.69748709512734697</v>
      </c>
      <c r="I61" s="23">
        <f t="shared" si="12"/>
        <v>-0.19161069610601983</v>
      </c>
      <c r="J61" s="23">
        <f t="shared" si="13"/>
        <v>0.66605017988437976</v>
      </c>
      <c r="K61" s="24">
        <f t="shared" si="14"/>
        <v>8.3256272485547527</v>
      </c>
      <c r="L61" s="24">
        <f t="shared" si="16"/>
        <v>0.58333333333333326</v>
      </c>
      <c r="M61" s="25">
        <f t="shared" si="17"/>
        <v>0.69759557980089215</v>
      </c>
      <c r="N61" s="25">
        <f t="shared" si="15"/>
        <v>0.70454002424533657</v>
      </c>
      <c r="O61" s="36">
        <v>0.51041666666666696</v>
      </c>
      <c r="P61" s="36">
        <v>0.75</v>
      </c>
      <c r="Q61" s="31" t="str">
        <f>IF(OR(M61&gt;P61,N61&lt;O61), "CLOSED", "ok")</f>
        <v>ok</v>
      </c>
    </row>
    <row r="62" spans="1:17" s="17" customFormat="1" ht="15.75">
      <c r="A62" s="14" t="s">
        <v>93</v>
      </c>
      <c r="B62" s="35">
        <v>630</v>
      </c>
      <c r="C62" s="35">
        <v>45.8</v>
      </c>
      <c r="D62" s="33">
        <f t="shared" si="9"/>
        <v>28.464885021752639</v>
      </c>
      <c r="E62" s="14" t="s">
        <v>94</v>
      </c>
      <c r="F62" s="15"/>
      <c r="G62" s="26">
        <f t="shared" si="10"/>
        <v>50.839999999999996</v>
      </c>
      <c r="H62" s="27">
        <f t="shared" si="11"/>
        <v>0.72097112712008615</v>
      </c>
      <c r="I62" s="28">
        <f t="shared" si="12"/>
        <v>-0.19874705790428512</v>
      </c>
      <c r="J62" s="27">
        <f t="shared" si="13"/>
        <v>0.69085659808571354</v>
      </c>
      <c r="K62" s="29">
        <f t="shared" si="14"/>
        <v>8.6357074760714259</v>
      </c>
      <c r="L62" s="29">
        <f t="shared" si="16"/>
        <v>0.58333333333333326</v>
      </c>
      <c r="M62" s="30">
        <f t="shared" si="17"/>
        <v>0.71746003372519795</v>
      </c>
      <c r="N62" s="30">
        <f t="shared" si="15"/>
        <v>0.71746003372519795</v>
      </c>
      <c r="O62" s="16"/>
      <c r="P62" s="16"/>
      <c r="Q62" s="9"/>
    </row>
    <row r="63" spans="1:17" s="17" customFormat="1" ht="15.75">
      <c r="A63" s="14" t="s">
        <v>95</v>
      </c>
      <c r="B63" s="35">
        <v>639</v>
      </c>
      <c r="C63" s="35">
        <v>46.9</v>
      </c>
      <c r="D63" s="33">
        <f t="shared" si="9"/>
        <v>29.148539465506524</v>
      </c>
      <c r="E63" s="14" t="s">
        <v>96</v>
      </c>
      <c r="F63" s="15"/>
      <c r="G63" s="26">
        <f t="shared" si="10"/>
        <v>52.012</v>
      </c>
      <c r="H63" s="27">
        <f t="shared" si="11"/>
        <v>0.73759146860287017</v>
      </c>
      <c r="I63" s="28">
        <f t="shared" si="12"/>
        <v>-0.20382862521747497</v>
      </c>
      <c r="J63" s="27">
        <f t="shared" si="13"/>
        <v>0.70852042840326512</v>
      </c>
      <c r="K63" s="29">
        <f t="shared" si="14"/>
        <v>8.8565053550408201</v>
      </c>
      <c r="L63" s="29">
        <f t="shared" si="16"/>
        <v>0.58333333333333326</v>
      </c>
      <c r="M63" s="30">
        <f t="shared" si="17"/>
        <v>0.72665994534892275</v>
      </c>
      <c r="N63" s="30">
        <f t="shared" si="15"/>
        <v>0.72665994534892275</v>
      </c>
      <c r="O63" s="16"/>
      <c r="P63" s="16"/>
      <c r="Q63" s="9"/>
    </row>
    <row r="64" spans="1:17" s="17" customFormat="1" ht="15.75">
      <c r="A64" s="14" t="s">
        <v>97</v>
      </c>
      <c r="B64" s="35">
        <v>644</v>
      </c>
      <c r="C64" s="35">
        <v>48.4</v>
      </c>
      <c r="D64" s="33">
        <f t="shared" si="9"/>
        <v>30.080795525170913</v>
      </c>
      <c r="E64" s="14" t="s">
        <v>98</v>
      </c>
      <c r="F64" s="15"/>
      <c r="G64" s="26">
        <f t="shared" si="10"/>
        <v>53.552</v>
      </c>
      <c r="H64" s="27">
        <f t="shared" si="11"/>
        <v>0.75943048386181855</v>
      </c>
      <c r="I64" s="28">
        <f t="shared" si="12"/>
        <v>-0.21054527017668812</v>
      </c>
      <c r="J64" s="27">
        <f t="shared" si="13"/>
        <v>0.73186788590025231</v>
      </c>
      <c r="K64" s="29">
        <f t="shared" si="14"/>
        <v>9.1483485737531609</v>
      </c>
      <c r="L64" s="29">
        <f t="shared" si="16"/>
        <v>0.58333333333333326</v>
      </c>
      <c r="M64" s="30">
        <f t="shared" si="17"/>
        <v>0.73882007946193695</v>
      </c>
      <c r="N64" s="30">
        <f t="shared" si="15"/>
        <v>0.73882007946193695</v>
      </c>
      <c r="O64" s="16"/>
      <c r="P64" s="16"/>
      <c r="Q64" s="9"/>
    </row>
    <row r="65" spans="1:17" s="17" customFormat="1" ht="15.75">
      <c r="A65" s="14" t="s">
        <v>99</v>
      </c>
      <c r="B65" s="35">
        <v>644</v>
      </c>
      <c r="C65" s="35">
        <v>50.8</v>
      </c>
      <c r="D65" s="33">
        <f t="shared" si="9"/>
        <v>31.572405220633932</v>
      </c>
      <c r="E65" s="14" t="s">
        <v>100</v>
      </c>
      <c r="F65" s="15"/>
      <c r="G65" s="26">
        <f t="shared" si="10"/>
        <v>55.951999999999998</v>
      </c>
      <c r="H65" s="27">
        <f t="shared" si="11"/>
        <v>0.79346531283680288</v>
      </c>
      <c r="I65" s="28">
        <f t="shared" si="12"/>
        <v>-0.22110354380670758</v>
      </c>
      <c r="J65" s="27">
        <f t="shared" si="13"/>
        <v>0.76856907322150669</v>
      </c>
      <c r="K65" s="29">
        <f t="shared" si="14"/>
        <v>9.6071134152688398</v>
      </c>
      <c r="L65" s="29">
        <f t="shared" si="16"/>
        <v>0.58333333333333326</v>
      </c>
      <c r="M65" s="30">
        <f t="shared" si="17"/>
        <v>0.7579352811917569</v>
      </c>
      <c r="N65" s="30">
        <f t="shared" si="15"/>
        <v>0.7579352811917569</v>
      </c>
      <c r="O65" s="16"/>
      <c r="P65" s="16"/>
      <c r="Q65" s="9"/>
    </row>
    <row r="66" spans="1:17" s="17" customFormat="1" ht="15.75">
      <c r="A66" s="14" t="s">
        <v>101</v>
      </c>
      <c r="B66" s="35">
        <v>644</v>
      </c>
      <c r="C66" s="35">
        <v>52</v>
      </c>
      <c r="D66" s="33">
        <f t="shared" si="9"/>
        <v>32.318210068365445</v>
      </c>
      <c r="E66" s="14" t="s">
        <v>102</v>
      </c>
      <c r="F66" s="15"/>
      <c r="G66" s="26">
        <f t="shared" si="10"/>
        <v>57.152000000000001</v>
      </c>
      <c r="H66" s="27">
        <f t="shared" si="11"/>
        <v>0.81048272732429516</v>
      </c>
      <c r="I66" s="28">
        <f t="shared" si="12"/>
        <v>-0.22642478095397744</v>
      </c>
      <c r="J66" s="27">
        <f t="shared" si="13"/>
        <v>0.78706601014190436</v>
      </c>
      <c r="K66" s="29">
        <f t="shared" si="14"/>
        <v>9.8383251267738121</v>
      </c>
      <c r="L66" s="29">
        <f t="shared" si="16"/>
        <v>0.58333333333333326</v>
      </c>
      <c r="M66" s="30">
        <f t="shared" si="17"/>
        <v>0.76756910250446408</v>
      </c>
      <c r="N66" s="30">
        <f t="shared" si="15"/>
        <v>0.76756910250446408</v>
      </c>
      <c r="O66" s="16"/>
      <c r="P66" s="16"/>
      <c r="Q66" s="9"/>
    </row>
    <row r="67" spans="1:17" s="17" customFormat="1" ht="15.75">
      <c r="A67" s="14" t="s">
        <v>103</v>
      </c>
      <c r="B67" s="35">
        <v>653</v>
      </c>
      <c r="C67" s="35">
        <v>53.7</v>
      </c>
      <c r="D67" s="33">
        <f t="shared" si="9"/>
        <v>33.374766935985086</v>
      </c>
      <c r="E67" s="14" t="s">
        <v>104</v>
      </c>
      <c r="F67" s="15"/>
      <c r="G67" s="26">
        <f t="shared" si="10"/>
        <v>58.924000000000007</v>
      </c>
      <c r="H67" s="27">
        <f t="shared" si="11"/>
        <v>0.83561177605082537</v>
      </c>
      <c r="I67" s="28">
        <f t="shared" si="12"/>
        <v>-0.23433461837835395</v>
      </c>
      <c r="J67" s="27">
        <f t="shared" si="13"/>
        <v>0.81456107563891167</v>
      </c>
      <c r="K67" s="29">
        <f t="shared" si="14"/>
        <v>10.182013445486403</v>
      </c>
      <c r="L67" s="29">
        <f t="shared" si="16"/>
        <v>0.58333333333333326</v>
      </c>
      <c r="M67" s="30">
        <f t="shared" si="17"/>
        <v>0.7818894491174887</v>
      </c>
      <c r="N67" s="30">
        <f t="shared" si="15"/>
        <v>0.7818894491174887</v>
      </c>
      <c r="O67" s="16"/>
      <c r="P67" s="16"/>
      <c r="Q67" s="9"/>
    </row>
    <row r="68" spans="1:17" s="13" customFormat="1" ht="28.9" customHeight="1">
      <c r="A68" s="12" t="s">
        <v>105</v>
      </c>
      <c r="B68" s="34">
        <v>653</v>
      </c>
      <c r="C68" s="34">
        <v>54.5</v>
      </c>
      <c r="D68" s="32">
        <f t="shared" si="9"/>
        <v>33.87197016780609</v>
      </c>
      <c r="E68" s="12" t="s">
        <v>106</v>
      </c>
      <c r="F68" s="6">
        <v>5</v>
      </c>
      <c r="G68" s="22">
        <f t="shared" si="10"/>
        <v>59.724000000000004</v>
      </c>
      <c r="H68" s="23">
        <f t="shared" si="11"/>
        <v>0.84695671904248682</v>
      </c>
      <c r="I68" s="23">
        <f t="shared" si="12"/>
        <v>-0.2379262537379187</v>
      </c>
      <c r="J68" s="23">
        <f t="shared" si="13"/>
        <v>0.82704581383950548</v>
      </c>
      <c r="K68" s="24">
        <f t="shared" si="14"/>
        <v>10.338072672993826</v>
      </c>
      <c r="L68" s="24">
        <f t="shared" si="16"/>
        <v>0.66666666666666663</v>
      </c>
      <c r="M68" s="25">
        <f t="shared" si="17"/>
        <v>0.78839191693029798</v>
      </c>
      <c r="N68" s="25">
        <f t="shared" si="15"/>
        <v>0.79186413915252019</v>
      </c>
      <c r="O68" s="36">
        <v>0.55208333333333304</v>
      </c>
      <c r="P68" s="36">
        <v>0.85416666666666696</v>
      </c>
      <c r="Q68" s="31" t="str">
        <f>IF(OR(M68&gt;P68,N68&lt;O68), "CLOSED", "ok")</f>
        <v>ok</v>
      </c>
    </row>
    <row r="69" spans="1:17" s="17" customFormat="1" ht="15.75">
      <c r="A69" s="14" t="s">
        <v>107</v>
      </c>
      <c r="B69" s="35">
        <v>653</v>
      </c>
      <c r="C69" s="35">
        <v>55.7</v>
      </c>
      <c r="D69" s="33">
        <f t="shared" si="9"/>
        <v>34.617775015537603</v>
      </c>
      <c r="E69" s="14" t="s">
        <v>108</v>
      </c>
      <c r="F69" s="15"/>
      <c r="G69" s="26">
        <f t="shared" si="10"/>
        <v>60.924000000000007</v>
      </c>
      <c r="H69" s="27">
        <f t="shared" si="11"/>
        <v>0.86397413352997909</v>
      </c>
      <c r="I69" s="28">
        <f t="shared" si="12"/>
        <v>-0.24333801042913197</v>
      </c>
      <c r="J69" s="27">
        <f t="shared" si="13"/>
        <v>0.84585740208027194</v>
      </c>
      <c r="K69" s="29">
        <f t="shared" si="14"/>
        <v>10.573217526003408</v>
      </c>
      <c r="L69" s="29">
        <f t="shared" si="16"/>
        <v>0.66666666666666663</v>
      </c>
      <c r="M69" s="30">
        <f t="shared" si="17"/>
        <v>0.80166184136125274</v>
      </c>
      <c r="N69" s="30">
        <f t="shared" si="15"/>
        <v>0.80166184136125274</v>
      </c>
      <c r="O69" s="16"/>
      <c r="P69" s="16"/>
      <c r="Q69" s="9"/>
    </row>
    <row r="70" spans="1:17" s="17" customFormat="1" ht="15.75">
      <c r="A70" s="14" t="s">
        <v>109</v>
      </c>
      <c r="B70" s="35">
        <v>702</v>
      </c>
      <c r="C70" s="35">
        <v>57.3</v>
      </c>
      <c r="D70" s="33">
        <f t="shared" si="9"/>
        <v>35.612181479179611</v>
      </c>
      <c r="E70" s="14" t="s">
        <v>110</v>
      </c>
      <c r="F70" s="15"/>
      <c r="G70" s="26">
        <f t="shared" si="10"/>
        <v>62.915999999999997</v>
      </c>
      <c r="H70" s="27">
        <f t="shared" si="11"/>
        <v>0.89222304157921595</v>
      </c>
      <c r="I70" s="28">
        <f t="shared" si="12"/>
        <v>-0.2523866948895036</v>
      </c>
      <c r="J70" s="27">
        <f t="shared" si="13"/>
        <v>0.87731116763213235</v>
      </c>
      <c r="K70" s="29">
        <f t="shared" si="14"/>
        <v>10.966389595401662</v>
      </c>
      <c r="L70" s="29">
        <f t="shared" si="16"/>
        <v>0.66666666666666663</v>
      </c>
      <c r="M70" s="30">
        <f t="shared" si="17"/>
        <v>0.81804401091951329</v>
      </c>
      <c r="N70" s="30">
        <f t="shared" si="15"/>
        <v>0.81804401091951329</v>
      </c>
      <c r="O70" s="16"/>
      <c r="P70" s="16"/>
      <c r="Q70" s="9"/>
    </row>
    <row r="71" spans="1:17" s="13" customFormat="1" ht="28.9" customHeight="1">
      <c r="A71" s="12" t="s">
        <v>111</v>
      </c>
      <c r="B71" s="34">
        <v>712</v>
      </c>
      <c r="C71" s="34">
        <v>58.1</v>
      </c>
      <c r="D71" s="32">
        <f t="shared" si="9"/>
        <v>36.109384711000622</v>
      </c>
      <c r="E71" s="12" t="s">
        <v>112</v>
      </c>
      <c r="F71" s="6">
        <v>5</v>
      </c>
      <c r="G71" s="22">
        <f t="shared" si="10"/>
        <v>63.795999999999999</v>
      </c>
      <c r="H71" s="23">
        <f t="shared" si="11"/>
        <v>0.90470247887004362</v>
      </c>
      <c r="I71" s="23">
        <f t="shared" si="12"/>
        <v>-0.25641032999768387</v>
      </c>
      <c r="J71" s="23">
        <f t="shared" si="13"/>
        <v>0.89129756266150872</v>
      </c>
      <c r="K71" s="24">
        <f t="shared" si="14"/>
        <v>11.141219533268867</v>
      </c>
      <c r="L71" s="24">
        <f t="shared" si="16"/>
        <v>0.75</v>
      </c>
      <c r="M71" s="25">
        <f t="shared" si="17"/>
        <v>0.8253285916639802</v>
      </c>
      <c r="N71" s="25">
        <f t="shared" si="15"/>
        <v>0.82880081388620241</v>
      </c>
      <c r="O71" s="36">
        <v>0.5625</v>
      </c>
      <c r="P71" s="36">
        <v>0.88541666666666696</v>
      </c>
      <c r="Q71" s="31" t="str">
        <f>IF(OR(M71&gt;P71,N71&lt;O71), "CLOSED", "ok")</f>
        <v>ok</v>
      </c>
    </row>
    <row r="72" spans="1:17" s="17" customFormat="1" ht="15.75">
      <c r="A72" s="14" t="s">
        <v>113</v>
      </c>
      <c r="B72" s="35">
        <v>740</v>
      </c>
      <c r="C72" s="35">
        <v>59</v>
      </c>
      <c r="D72" s="33">
        <f t="shared" si="9"/>
        <v>36.668738346799252</v>
      </c>
      <c r="E72" s="14" t="s">
        <v>114</v>
      </c>
      <c r="F72" s="15"/>
      <c r="G72" s="26">
        <f t="shared" si="10"/>
        <v>64.92</v>
      </c>
      <c r="H72" s="27">
        <f t="shared" si="11"/>
        <v>0.92064212377332799</v>
      </c>
      <c r="I72" s="28">
        <f t="shared" si="12"/>
        <v>-0.26157326761433441</v>
      </c>
      <c r="J72" s="27">
        <f t="shared" si="13"/>
        <v>0.90924424099516088</v>
      </c>
      <c r="K72" s="29">
        <f t="shared" si="14"/>
        <v>11.36555301243952</v>
      </c>
      <c r="L72" s="29">
        <f t="shared" si="16"/>
        <v>0.75</v>
      </c>
      <c r="M72" s="30">
        <f t="shared" si="17"/>
        <v>0.83814804218497962</v>
      </c>
      <c r="N72" s="30">
        <f t="shared" si="15"/>
        <v>0.83814804218497962</v>
      </c>
      <c r="O72" s="16"/>
      <c r="P72" s="16"/>
      <c r="Q72" s="9"/>
    </row>
    <row r="73" spans="1:17" s="17" customFormat="1" ht="15.75">
      <c r="A73" s="14" t="s">
        <v>115</v>
      </c>
      <c r="B73" s="35">
        <v>740</v>
      </c>
      <c r="C73" s="35">
        <v>60.8</v>
      </c>
      <c r="D73" s="33">
        <f t="shared" si="9"/>
        <v>37.787445618396518</v>
      </c>
      <c r="E73" s="14" t="s">
        <v>116</v>
      </c>
      <c r="F73" s="15"/>
      <c r="G73" s="26">
        <f t="shared" si="10"/>
        <v>66.72</v>
      </c>
      <c r="H73" s="27">
        <f t="shared" si="11"/>
        <v>0.94616824550456624</v>
      </c>
      <c r="I73" s="28">
        <f t="shared" si="12"/>
        <v>-0.2698972460520277</v>
      </c>
      <c r="J73" s="27">
        <f t="shared" si="13"/>
        <v>0.93817888529451499</v>
      </c>
      <c r="K73" s="29">
        <f t="shared" si="14"/>
        <v>11.727236066181446</v>
      </c>
      <c r="L73" s="29">
        <f t="shared" si="16"/>
        <v>0.75</v>
      </c>
      <c r="M73" s="30">
        <f t="shared" si="17"/>
        <v>0.85321816942422646</v>
      </c>
      <c r="N73" s="30">
        <f t="shared" si="15"/>
        <v>0.85321816942422646</v>
      </c>
      <c r="O73" s="16"/>
      <c r="P73" s="16"/>
      <c r="Q73" s="9"/>
    </row>
    <row r="74" spans="1:17" s="17" customFormat="1" ht="15.75">
      <c r="A74" s="14" t="s">
        <v>117</v>
      </c>
      <c r="B74" s="35">
        <v>747</v>
      </c>
      <c r="C74" s="35">
        <v>63.2</v>
      </c>
      <c r="D74" s="33">
        <f t="shared" si="9"/>
        <v>39.279055313859544</v>
      </c>
      <c r="E74" s="14" t="s">
        <v>118</v>
      </c>
      <c r="F74" s="15"/>
      <c r="G74" s="26">
        <f t="shared" si="10"/>
        <v>69.176000000000002</v>
      </c>
      <c r="H74" s="27">
        <f t="shared" si="11"/>
        <v>0.98099722048896698</v>
      </c>
      <c r="I74" s="28">
        <f t="shared" si="12"/>
        <v>-0.28136778972286242</v>
      </c>
      <c r="J74" s="27">
        <f t="shared" si="13"/>
        <v>0.978051177554775</v>
      </c>
      <c r="K74" s="29">
        <f t="shared" si="14"/>
        <v>12.225639719434696</v>
      </c>
      <c r="L74" s="29">
        <f t="shared" si="16"/>
        <v>0.75</v>
      </c>
      <c r="M74" s="30">
        <f t="shared" si="17"/>
        <v>0.87398498830977855</v>
      </c>
      <c r="N74" s="30">
        <f t="shared" si="15"/>
        <v>0.87398498830977855</v>
      </c>
      <c r="O74" s="16"/>
      <c r="P74" s="16"/>
      <c r="Q74" s="9"/>
    </row>
    <row r="75" spans="1:17" s="13" customFormat="1" ht="28.9" customHeight="1">
      <c r="A75" s="12" t="s">
        <v>119</v>
      </c>
      <c r="B75" s="34">
        <v>752</v>
      </c>
      <c r="C75" s="34">
        <v>64.5</v>
      </c>
      <c r="D75" s="32">
        <f t="shared" si="9"/>
        <v>40.087010565568676</v>
      </c>
      <c r="E75" s="12" t="s">
        <v>120</v>
      </c>
      <c r="F75" s="6"/>
      <c r="G75" s="22">
        <f t="shared" si="10"/>
        <v>70.516000000000005</v>
      </c>
      <c r="H75" s="23">
        <f t="shared" si="11"/>
        <v>1</v>
      </c>
      <c r="I75" s="23">
        <f t="shared" si="12"/>
        <v>-0.2876820724517809</v>
      </c>
      <c r="J75" s="23">
        <f t="shared" si="13"/>
        <v>1</v>
      </c>
      <c r="K75" s="24">
        <f t="shared" si="14"/>
        <v>12.500000000000009</v>
      </c>
      <c r="L75" s="24">
        <f t="shared" si="16"/>
        <v>0.75</v>
      </c>
      <c r="M75" s="25">
        <f t="shared" si="17"/>
        <v>0.88541666666666674</v>
      </c>
      <c r="N75" s="25"/>
      <c r="O75" s="36">
        <v>0.60416666666666696</v>
      </c>
      <c r="P75" s="36">
        <v>0.9375</v>
      </c>
      <c r="Q75" s="31" t="str">
        <f>IF(OR(M75&gt;P75,M75&lt;O75), "CLOSED", "ok")</f>
        <v>ok</v>
      </c>
    </row>
    <row r="77" spans="1:17" ht="140.25">
      <c r="E77" s="18" t="s">
        <v>121</v>
      </c>
    </row>
  </sheetData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&amp;C&amp;"TeXGyreTermes,Regular"&amp;12&amp;A</oddHeader>
    <oddFooter>&amp;C&amp;"TeXGyreTermes,Regular"&amp;12Page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ami45</cp:lastModifiedBy>
  <cp:revision>22</cp:revision>
  <cp:lastPrinted>2015-04-20T18:06:02Z</cp:lastPrinted>
  <dcterms:modified xsi:type="dcterms:W3CDTF">2015-04-20T18:25:42Z</dcterms:modified>
</cp:coreProperties>
</file>